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L:\01 - Projetos\2024\BE_003_PMSa\04 - Clínica Escola do Autista\05 - Orçamento Geral\00 - Entrega Orçamento\Memórias de Cálculo\"/>
    </mc:Choice>
  </mc:AlternateContent>
  <xr:revisionPtr revIDLastSave="0" documentId="13_ncr:1_{C809C11A-6BF0-4D02-9D2E-7BEE8CEA758C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Orçamento" sheetId="1" r:id="rId1"/>
    <sheet name="13.2" sheetId="2" r:id="rId2"/>
    <sheet name="13.2.1" sheetId="3" r:id="rId3"/>
    <sheet name="13.2.2" sheetId="4" r:id="rId4"/>
    <sheet name="13.2.3" sheetId="5" r:id="rId5"/>
    <sheet name="13.2.4" sheetId="6" r:id="rId6"/>
    <sheet name="13.2.5" sheetId="7" r:id="rId7"/>
    <sheet name="13.2.6" sheetId="8" r:id="rId8"/>
    <sheet name="13.2.7" sheetId="9" r:id="rId9"/>
    <sheet name="13.2.8" sheetId="10" r:id="rId10"/>
    <sheet name="13.2.9" sheetId="11" r:id="rId11"/>
    <sheet name="13.2.10" sheetId="12" r:id="rId12"/>
    <sheet name="13.2.11" sheetId="13" r:id="rId13"/>
    <sheet name="13.2.12" sheetId="14" r:id="rId14"/>
    <sheet name="13.2.13" sheetId="15" r:id="rId15"/>
    <sheet name="13.2.14" sheetId="16" r:id="rId16"/>
    <sheet name="13.2.15" sheetId="17" r:id="rId17"/>
    <sheet name="13.2.16" sheetId="18" r:id="rId18"/>
    <sheet name="13.2.17" sheetId="19" r:id="rId19"/>
    <sheet name="13.2.18" sheetId="20" r:id="rId20"/>
    <sheet name="13.2.19" sheetId="21" r:id="rId21"/>
    <sheet name="13.2.20" sheetId="22" r:id="rId22"/>
    <sheet name="13.2.21" sheetId="23" r:id="rId23"/>
    <sheet name="13.2.22" sheetId="24" r:id="rId24"/>
    <sheet name="13.2.23" sheetId="25" r:id="rId25"/>
    <sheet name="13.2.24" sheetId="26" r:id="rId26"/>
    <sheet name="13.2.25" sheetId="27" r:id="rId27"/>
    <sheet name="13.2.26" sheetId="28" r:id="rId28"/>
    <sheet name="13.2.27" sheetId="29" r:id="rId29"/>
    <sheet name="13.2.28" sheetId="30" r:id="rId30"/>
    <sheet name="13.2.29" sheetId="31" r:id="rId31"/>
    <sheet name="13.2.30" sheetId="32" r:id="rId32"/>
    <sheet name="13.2.31" sheetId="33" r:id="rId33"/>
    <sheet name="13.2.32" sheetId="34" r:id="rId34"/>
    <sheet name="13.2.33" sheetId="35" r:id="rId35"/>
    <sheet name="13.2.34" sheetId="36" r:id="rId36"/>
    <sheet name="13.2.35" sheetId="37" r:id="rId37"/>
    <sheet name="13.2.36" sheetId="38" r:id="rId38"/>
    <sheet name="13.2.37" sheetId="39" r:id="rId39"/>
    <sheet name="13.2.38" sheetId="40" r:id="rId40"/>
    <sheet name="13.2.39" sheetId="41" r:id="rId41"/>
    <sheet name="13.2.40" sheetId="42" r:id="rId42"/>
    <sheet name="13.2.41" sheetId="43" r:id="rId43"/>
    <sheet name="13.2.42" sheetId="44" r:id="rId44"/>
    <sheet name="13.2.43" sheetId="45" r:id="rId45"/>
    <sheet name="13.2.44" sheetId="46" r:id="rId46"/>
    <sheet name="13.2.45" sheetId="47" r:id="rId47"/>
    <sheet name="13.2.46" sheetId="48" r:id="rId48"/>
    <sheet name="13.2.47" sheetId="49" r:id="rId49"/>
    <sheet name="13.2.48" sheetId="50" r:id="rId50"/>
    <sheet name="13.2.1E" sheetId="51" r:id="rId51"/>
    <sheet name="13.2.2E" sheetId="52" r:id="rId52"/>
    <sheet name="13.2.3E" sheetId="53" r:id="rId53"/>
    <sheet name="13.2.4E" sheetId="54" r:id="rId54"/>
    <sheet name="13.2.5E" sheetId="55" r:id="rId55"/>
    <sheet name="13.2.6E" sheetId="56" r:id="rId56"/>
    <sheet name="13.2.7E" sheetId="57" r:id="rId57"/>
    <sheet name="13.2.8E" sheetId="58" r:id="rId58"/>
    <sheet name="13.2.9E" sheetId="59" r:id="rId59"/>
    <sheet name="13.2.10E" sheetId="60" r:id="rId60"/>
    <sheet name="13.2.11E" sheetId="61" r:id="rId61"/>
    <sheet name="13.2.12E" sheetId="62" r:id="rId62"/>
    <sheet name="13.2.13E" sheetId="63" r:id="rId63"/>
    <sheet name="13.2.14E" sheetId="64" r:id="rId64"/>
    <sheet name="13.2.15E" sheetId="65" r:id="rId65"/>
    <sheet name="13.2.16E" sheetId="66" r:id="rId66"/>
    <sheet name="13.2.17E" sheetId="67" r:id="rId67"/>
    <sheet name="13.2.18E" sheetId="68" r:id="rId68"/>
    <sheet name="13.2.19E" sheetId="69" r:id="rId69"/>
    <sheet name="13.2.20E" sheetId="70" r:id="rId70"/>
    <sheet name="13.2.21E" sheetId="71" r:id="rId71"/>
    <sheet name="13.2.22E" sheetId="72" r:id="rId72"/>
    <sheet name="13.2.23E" sheetId="73" r:id="rId73"/>
    <sheet name="13.2.24E" sheetId="74" r:id="rId74"/>
    <sheet name="13.2.25E" sheetId="75" r:id="rId75"/>
    <sheet name="13.2.26E" sheetId="76" r:id="rId76"/>
    <sheet name="13.2.27E" sheetId="77" r:id="rId77"/>
    <sheet name="13.2.28E" sheetId="78" r:id="rId78"/>
    <sheet name="13.2.29E" sheetId="79" r:id="rId79"/>
    <sheet name="13.2.30E" sheetId="80" r:id="rId80"/>
    <sheet name="13.2.31E" sheetId="81" r:id="rId81"/>
    <sheet name="13.2.32E" sheetId="82" r:id="rId82"/>
    <sheet name="13.2.33E" sheetId="83" r:id="rId83"/>
    <sheet name="13.2.34E" sheetId="84" r:id="rId84"/>
    <sheet name="13.2.35E" sheetId="85" r:id="rId85"/>
    <sheet name="13.2.36E" sheetId="86" r:id="rId86"/>
    <sheet name="13.2.37E" sheetId="87" r:id="rId87"/>
    <sheet name="13.2.38E" sheetId="88" r:id="rId88"/>
    <sheet name="13.2.39E" sheetId="89" r:id="rId89"/>
    <sheet name="13.2.40E" sheetId="90" r:id="rId90"/>
    <sheet name="13.2.41E" sheetId="91" r:id="rId91"/>
    <sheet name="13.2.42E" sheetId="92" r:id="rId92"/>
    <sheet name="13.2.43E" sheetId="93" r:id="rId93"/>
    <sheet name="13.2.44E" sheetId="94" r:id="rId94"/>
    <sheet name="13.2.45E" sheetId="95" r:id="rId95"/>
    <sheet name="13.2.46E" sheetId="96" r:id="rId96"/>
    <sheet name="13.2.47E" sheetId="97" r:id="rId97"/>
    <sheet name="13.2.48E" sheetId="98" r:id="rId9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98" l="1"/>
  <c r="C11" i="98"/>
  <c r="E24" i="97"/>
  <c r="C24" i="97"/>
  <c r="E21" i="96"/>
  <c r="C21" i="96"/>
  <c r="E11" i="95"/>
  <c r="C11" i="95"/>
  <c r="E9" i="94"/>
  <c r="C9" i="94"/>
  <c r="E29" i="93"/>
  <c r="C29" i="93"/>
  <c r="E15" i="92"/>
  <c r="C15" i="92"/>
  <c r="E79" i="91"/>
  <c r="C79" i="91"/>
  <c r="E20" i="90"/>
  <c r="C20" i="90"/>
  <c r="E9" i="89"/>
  <c r="C9" i="89"/>
  <c r="E24" i="88"/>
  <c r="C24" i="88"/>
  <c r="E18" i="87"/>
  <c r="C18" i="87"/>
  <c r="E31" i="86"/>
  <c r="C31" i="86"/>
  <c r="E55" i="85"/>
  <c r="C55" i="85"/>
  <c r="E144" i="84"/>
  <c r="C144" i="84"/>
  <c r="E11" i="83"/>
  <c r="C11" i="83"/>
  <c r="E229" i="82"/>
  <c r="C229" i="82"/>
  <c r="E19" i="81"/>
  <c r="C19" i="81"/>
  <c r="E12" i="80"/>
  <c r="C12" i="80"/>
  <c r="E13" i="79"/>
  <c r="C13" i="79"/>
  <c r="E31" i="78"/>
  <c r="C31" i="78"/>
  <c r="E13" i="77"/>
  <c r="C13" i="77"/>
  <c r="E11" i="76"/>
  <c r="C11" i="76"/>
  <c r="E10" i="75"/>
  <c r="C10" i="75"/>
  <c r="E25" i="74"/>
  <c r="C25" i="74"/>
  <c r="E193" i="73"/>
  <c r="C193" i="73"/>
  <c r="E137" i="72"/>
  <c r="C137" i="72"/>
  <c r="E30" i="71"/>
  <c r="C30" i="71"/>
  <c r="E406" i="70"/>
  <c r="C406" i="70"/>
  <c r="E25" i="69"/>
  <c r="C25" i="69"/>
  <c r="E10" i="68"/>
  <c r="C10" i="68"/>
  <c r="E11" i="67"/>
  <c r="C11" i="67"/>
  <c r="E26" i="66"/>
  <c r="C26" i="66"/>
  <c r="E37" i="65"/>
  <c r="C37" i="65"/>
  <c r="E41" i="64"/>
  <c r="C41" i="64"/>
  <c r="E25" i="63"/>
  <c r="C25" i="63"/>
  <c r="E26" i="62"/>
  <c r="C26" i="62"/>
  <c r="E13" i="62"/>
  <c r="C13" i="62"/>
  <c r="E32" i="61"/>
  <c r="C32" i="61"/>
  <c r="E19" i="61"/>
  <c r="C19" i="61"/>
  <c r="E9" i="60"/>
  <c r="C9" i="60"/>
  <c r="E22" i="59"/>
  <c r="C22" i="59"/>
  <c r="E53" i="58"/>
  <c r="C53" i="58"/>
  <c r="E8" i="57"/>
  <c r="C8" i="57"/>
  <c r="E229" i="56"/>
  <c r="C229" i="56"/>
  <c r="E19" i="55"/>
  <c r="C19" i="55"/>
  <c r="E24" i="54"/>
  <c r="C24" i="54"/>
  <c r="E8" i="53"/>
  <c r="C8" i="53"/>
  <c r="E9" i="52"/>
  <c r="C9" i="52"/>
  <c r="E22" i="51"/>
  <c r="C22" i="51"/>
  <c r="E9" i="50"/>
  <c r="C9" i="50"/>
  <c r="E9" i="49"/>
  <c r="C9" i="49"/>
  <c r="E9" i="48"/>
  <c r="C9" i="48"/>
  <c r="E9" i="47"/>
  <c r="C9" i="47"/>
  <c r="E9" i="46"/>
  <c r="C9" i="46"/>
  <c r="E9" i="45"/>
  <c r="C9" i="45"/>
  <c r="E9" i="44"/>
  <c r="C9" i="44"/>
  <c r="E9" i="43"/>
  <c r="C9" i="43"/>
  <c r="E9" i="42"/>
  <c r="C9" i="42"/>
  <c r="E9" i="41"/>
  <c r="C9" i="41"/>
  <c r="E9" i="40"/>
  <c r="C9" i="40"/>
  <c r="E9" i="39"/>
  <c r="C9" i="39"/>
  <c r="E9" i="38"/>
  <c r="C9" i="38"/>
  <c r="E9" i="37"/>
  <c r="C9" i="37"/>
  <c r="E9" i="36"/>
  <c r="C9" i="36"/>
  <c r="E9" i="35"/>
  <c r="C9" i="35"/>
  <c r="E9" i="34"/>
  <c r="C9" i="34"/>
  <c r="E9" i="33"/>
  <c r="C9" i="33"/>
  <c r="E9" i="32"/>
  <c r="C9" i="32"/>
  <c r="E9" i="31"/>
  <c r="C9" i="31"/>
  <c r="E9" i="30"/>
  <c r="C9" i="30"/>
  <c r="E9" i="29"/>
  <c r="C9" i="29"/>
  <c r="E9" i="28"/>
  <c r="C9" i="28"/>
  <c r="E9" i="27"/>
  <c r="C9" i="27"/>
  <c r="E9" i="26"/>
  <c r="C9" i="26"/>
  <c r="E9" i="25"/>
  <c r="C9" i="25"/>
  <c r="E9" i="24"/>
  <c r="C9" i="24"/>
  <c r="E9" i="23"/>
  <c r="C9" i="23"/>
  <c r="E9" i="22"/>
  <c r="C9" i="22"/>
  <c r="E9" i="21"/>
  <c r="C9" i="21"/>
  <c r="E9" i="20"/>
  <c r="C9" i="20"/>
  <c r="E9" i="19"/>
  <c r="C9" i="19"/>
  <c r="E9" i="18"/>
  <c r="C9" i="18"/>
  <c r="E9" i="17"/>
  <c r="C9" i="17"/>
  <c r="E9" i="16"/>
  <c r="C9" i="16"/>
  <c r="E9" i="15"/>
  <c r="C9" i="15"/>
  <c r="E10" i="14"/>
  <c r="C10" i="14"/>
  <c r="E10" i="13"/>
  <c r="C10" i="13"/>
  <c r="E9" i="12"/>
  <c r="C9" i="12"/>
  <c r="E9" i="11"/>
  <c r="C9" i="11"/>
  <c r="E9" i="10"/>
  <c r="C9" i="10"/>
  <c r="E9" i="9"/>
  <c r="C9" i="9"/>
  <c r="E9" i="8"/>
  <c r="C9" i="8"/>
  <c r="E9" i="7"/>
  <c r="C9" i="7"/>
  <c r="E9" i="6"/>
  <c r="C9" i="6"/>
  <c r="E9" i="5"/>
  <c r="C9" i="5"/>
  <c r="E9" i="4"/>
  <c r="C9" i="4"/>
  <c r="E9" i="3"/>
  <c r="C9" i="3"/>
</calcChain>
</file>

<file path=xl/sharedStrings.xml><?xml version="1.0" encoding="utf-8"?>
<sst xmlns="http://schemas.openxmlformats.org/spreadsheetml/2006/main" count="12896" uniqueCount="2018">
  <si>
    <t>BE-PMSa-MOD-ORC-AUTISTA-EX-000-R00-ONERADO</t>
  </si>
  <si>
    <t>Item</t>
  </si>
  <si>
    <t>Código</t>
  </si>
  <si>
    <t>Banco</t>
  </si>
  <si>
    <t>Descrição</t>
  </si>
  <si>
    <t>Unidade</t>
  </si>
  <si>
    <t>Quantidade</t>
  </si>
  <si>
    <t>Custo</t>
  </si>
  <si>
    <t>Custo c/ BDI</t>
  </si>
  <si>
    <t>Total</t>
  </si>
  <si>
    <t>13.2</t>
  </si>
  <si>
    <t>REDE HIDRAULICA</t>
  </si>
  <si>
    <t>13.2.1</t>
  </si>
  <si>
    <t>15.038.0356-0</t>
  </si>
  <si>
    <t>EMOP</t>
  </si>
  <si>
    <t>LUVA SOLDAVEL,COM DIAMETRO DE 25MM.FORNECIMENTO</t>
  </si>
  <si>
    <t>un</t>
  </si>
  <si>
    <t>15,00</t>
  </si>
  <si>
    <t>13.2.2</t>
  </si>
  <si>
    <t>15.038.0360-0</t>
  </si>
  <si>
    <t>LUVA SOLDAVEL,COM DIAMETRO DE 60MM.FORNECIMENTO</t>
  </si>
  <si>
    <t>2,00</t>
  </si>
  <si>
    <t>13.2.3</t>
  </si>
  <si>
    <t>15.038.0359-0</t>
  </si>
  <si>
    <t>LUVA SOLDAVEL,COM DIAMETRO DE 50MM.FORNECIMENTO</t>
  </si>
  <si>
    <t>1,00</t>
  </si>
  <si>
    <t>13.2.4</t>
  </si>
  <si>
    <t>15.038.0467-0</t>
  </si>
  <si>
    <t>LUVA SOLDAVEL E COM BUCHA DE LATAO,COM DIAMETRO DE 25MMX3/4" .FORNECIMENTO</t>
  </si>
  <si>
    <t>17,00</t>
  </si>
  <si>
    <t>13.2.5</t>
  </si>
  <si>
    <t>89579</t>
  </si>
  <si>
    <t>SINAPI</t>
  </si>
  <si>
    <t>LUVA DE REDUÇÃO, PVC, SOLDÁVEL, DN 50MM X 25MM, INSTALADO EM PRUMADA DE ÁGUA   FORNECIMENTO E INSTALAÇÃO. AF_06/2022</t>
  </si>
  <si>
    <t>12,00</t>
  </si>
  <si>
    <t>13.2.6</t>
  </si>
  <si>
    <t>063456</t>
  </si>
  <si>
    <t>SBC</t>
  </si>
  <si>
    <t>LEITOS - SUPORTE PARA PERFILADOS</t>
  </si>
  <si>
    <t>222,00</t>
  </si>
  <si>
    <t>13.2.7</t>
  </si>
  <si>
    <t>15.001.0077-0</t>
  </si>
  <si>
    <t>HIDROMETRO COM DIAMETRO DE 1/2”.FORNECIMENTO</t>
  </si>
  <si>
    <t>13.2.8</t>
  </si>
  <si>
    <t>15.029.0011-0</t>
  </si>
  <si>
    <t>REGISTRO DE GAVETA BRUTO,COM DIAMETRO DE 3/4".FORNECIMENTO E COLOCACAO</t>
  </si>
  <si>
    <t>46,00</t>
  </si>
  <si>
    <t>13.2.9</t>
  </si>
  <si>
    <t>18.013.0156-0</t>
  </si>
  <si>
    <t>REGISTRO DE PRESSAO,1416 DE 3/4",COM CANOPLA E VOLANTE EM ME TAL CROMADO.FORNECIMENTO</t>
  </si>
  <si>
    <t>13.2.10</t>
  </si>
  <si>
    <t>15.030.0034-0</t>
  </si>
  <si>
    <t>REGISTRO DE ESFERA,EM PVC,SOLDAVEL,COM DIAMETRO DE 25MM.FORN ECIMENTO E COLOCACAO</t>
  </si>
  <si>
    <t>13.2.11</t>
  </si>
  <si>
    <t>15.030.0038-0</t>
  </si>
  <si>
    <t>REGISTRO EM ESFERA,EM PVC,SOLDAVEL,COM DIAMETRO DE 50MM.FORN ECIMENTO E COLOCACAO</t>
  </si>
  <si>
    <t>16,00</t>
  </si>
  <si>
    <t>13.2.12</t>
  </si>
  <si>
    <t>15.030.0040-0</t>
  </si>
  <si>
    <t>REGISTRO DE ESFERA,EM PVC,SOLDAVEL,COM DIAMETRO DE 60MM.FORN ECIMENTO E COLOCACAO</t>
  </si>
  <si>
    <t>10,00</t>
  </si>
  <si>
    <t>13.2.13</t>
  </si>
  <si>
    <t>15.038.0404-0</t>
  </si>
  <si>
    <t>TE DE REDUCAO 90º SOLDAVEL,COM DIAMETRO DE 50MMX25MM.FORNECI MENTO</t>
  </si>
  <si>
    <t>18,00</t>
  </si>
  <si>
    <t>13.2.14</t>
  </si>
  <si>
    <t>15.038.0386-0</t>
  </si>
  <si>
    <t>TE SOLDAVEL 90º,COM DIAMETRO DE 25MM.FORNECIMENTO</t>
  </si>
  <si>
    <t>34,00</t>
  </si>
  <si>
    <t>13.2.15</t>
  </si>
  <si>
    <t>15.038.0389-0</t>
  </si>
  <si>
    <t>TE SOLDAVEL 90º,COM DIAMETRO DE 50MM.FORNECIMENTO</t>
  </si>
  <si>
    <t>30,00</t>
  </si>
  <si>
    <t>13.2.16</t>
  </si>
  <si>
    <t>15.038.0390-0</t>
  </si>
  <si>
    <t>TE SOLDAVEL 90º,COM DIAMETRO DE 60MM.FORNECIMENTO</t>
  </si>
  <si>
    <t>19,00</t>
  </si>
  <si>
    <t>13.2.17</t>
  </si>
  <si>
    <t>15.038.0472-0</t>
  </si>
  <si>
    <t>TE 90º SOLDAVEL E COM BUCHA DE LATAO NA BOLSA CENTRAL,COM DI AMETRO DE 25MMX25MMX3/4".FORNECIMENTO</t>
  </si>
  <si>
    <t>4,00</t>
  </si>
  <si>
    <t>13.2.18</t>
  </si>
  <si>
    <t>18.011.0003-0</t>
  </si>
  <si>
    <t>TORNEIRA DE BOIA EM PLASTICO,PARA CAIXA D'AGUA,DE 1/2".FORNE CIMENTO E COLOCACAO</t>
  </si>
  <si>
    <t>3,00</t>
  </si>
  <si>
    <t>13.2.19</t>
  </si>
  <si>
    <t>15.038.0244-0</t>
  </si>
  <si>
    <t>ADAPTADOR SOLDAVEL COM FLANGES E ANEL DE VEDACAO PARA CAIXA D'AGUA,COM DIAMETRO DE 50MMX1.1/2".FORNECIMENTO</t>
  </si>
  <si>
    <t>13.2.20</t>
  </si>
  <si>
    <t>06.271.0061-0</t>
  </si>
  <si>
    <t>TUBO DE PVC RIGIDO SOLDAVEL,PARA AGUA FRIA, COM DIAMETRO DE 25MM.FORNECIMENTO</t>
  </si>
  <si>
    <t>m</t>
  </si>
  <si>
    <t>645,65</t>
  </si>
  <si>
    <t>13.2.21</t>
  </si>
  <si>
    <t>06.271.0062-0</t>
  </si>
  <si>
    <t>TUBO DE PVC RIGIDO SOLDAVEL,PARA AGUA FRIA, COM DIAMETRO DE 32MM.FORNECIMENTO</t>
  </si>
  <si>
    <t>91,26</t>
  </si>
  <si>
    <t>13.2.22</t>
  </si>
  <si>
    <t>06.271.0065-0</t>
  </si>
  <si>
    <t>TUBO DE PVC RIGIDO SOLDAVEL,PARA AGUA FRIA, COM DIAMETRO DE 60MM.FORNECIMENTO</t>
  </si>
  <si>
    <t>95,79</t>
  </si>
  <si>
    <t>13.2.23</t>
  </si>
  <si>
    <t>06.271.0064-0</t>
  </si>
  <si>
    <t>TUBO DE PVC RIGIDO SOLDAVEL,PARA AGUA FRIA, COM DIAMETRO DE 50MM.FORNECIMENTO</t>
  </si>
  <si>
    <t>278,60</t>
  </si>
  <si>
    <t>13.2.24</t>
  </si>
  <si>
    <t>ADAPTADOR SOLDAVEL COM FLANGES E ANEL DE VEDACAO PARA CAIXA D'AGUA,COM DIAMETRO DE 60MMX2”.FORNECIMENTO</t>
  </si>
  <si>
    <t>13.2.25</t>
  </si>
  <si>
    <t>89430</t>
  </si>
  <si>
    <t>CURVA DE TRANSPOSIÇÃO, PVC, SOLDÁVEL, DN 25MM, INSTALADO EM RAMAL DE DISTRIBUIÇÃO DE ÁGUA   FORNECIMENTO E INSTALAÇÃO. AF_06/2022</t>
  </si>
  <si>
    <t>13.2.26</t>
  </si>
  <si>
    <t>15.038.0267-0</t>
  </si>
  <si>
    <t>BUCHA DE REDUCAO SOLDAVEL LONGA,COM DIAMETRO DE 60MMX32MM.FO RNECIMENTO</t>
  </si>
  <si>
    <t>13.2.27</t>
  </si>
  <si>
    <t>18.021.0042-0</t>
  </si>
  <si>
    <t>RESERVATORIO APOIADO PARA ARMAZENAMENTO DE AGUA POTAVEL OU P ARA APROVEITAMENTO DE AGUA DA CHUVA AAC,EM FIBRA DE VIDRO OU POLIETILENO,COM CAPACIDADE EM TORNO DE 3000L,INCLUSIVE TAMP A DE VEDACAO COM ESCOTILHA E FIXADORES,CONFORME ABNT NBR 155 27,12217 E 8220.FORNECIMENTO</t>
  </si>
  <si>
    <t>6,00</t>
  </si>
  <si>
    <t>13.2.28</t>
  </si>
  <si>
    <t>15.038.0305-0</t>
  </si>
  <si>
    <t>CURVA 90º SOLDAVEL,COM DIAMETRO DE 60MM.FORNECIMENTO</t>
  </si>
  <si>
    <t>24,00</t>
  </si>
  <si>
    <t>13.2.29</t>
  </si>
  <si>
    <t>15.028.0017-0</t>
  </si>
  <si>
    <t>COLOCACAO DE RESERVATORIO DE FRIBROCIMENTO,FIBRA DE VIDRO OU SEMELHANTE DE 3.000L,INCLUSIVE PECAS DE APOIO EM ALVENARIA E MADEIRA SERRADA,E FLANGES DE LIGACAO HIDRAULICA,EXCLUSIVE FORNECIMENTO DO RESERVATORIO</t>
  </si>
  <si>
    <t>13.2.30</t>
  </si>
  <si>
    <t>15.007.0705-0</t>
  </si>
  <si>
    <t>CHAVE BOIA,AUTOMATICA,DE MERCURIO,UNIPOLAR.FORNECIMENTO E CO LOCACAO</t>
  </si>
  <si>
    <t>5,00</t>
  </si>
  <si>
    <t>13.2.31</t>
  </si>
  <si>
    <t>15.038.0291-0</t>
  </si>
  <si>
    <t>CURVA 45º SOLDAVEL,COM DIAMETRO DE 25MM.FORNECIMENTO</t>
  </si>
  <si>
    <t>13.2.32</t>
  </si>
  <si>
    <t>91167</t>
  </si>
  <si>
    <t>FIXAÇÃO DE TUBOS HORIZONTAIS DE PPR DIÂMETROS MENORES OU IGUAIS A 40 MM COM ABRAÇADEIRA METÁLICA RÍGIDA TIPO U PERFIL 1 1/4", FIXADA EM PERFILADO EM LAJE. AF_09/2023_PS</t>
  </si>
  <si>
    <t>58,94</t>
  </si>
  <si>
    <t>13.2.33</t>
  </si>
  <si>
    <t>15.038.0294-0</t>
  </si>
  <si>
    <t>CURVA 45º SOLDAVEL,COM DIAMETRO DE 60MM.FORNECIMENTO</t>
  </si>
  <si>
    <t>13.2.34</t>
  </si>
  <si>
    <t>15.038.0301-0</t>
  </si>
  <si>
    <t>CURVA 90º SOLDAVEL,COM DIAMETRO DE 25MM.FORNECIMENTO</t>
  </si>
  <si>
    <t>137,00</t>
  </si>
  <si>
    <t>13.2.35</t>
  </si>
  <si>
    <t>15.038.0304-0</t>
  </si>
  <si>
    <t>CURVA 90º SOLDAVEL,COM DIAMETRO DE 50MM.FORNECIMENTO</t>
  </si>
  <si>
    <t>48,00</t>
  </si>
  <si>
    <t>13.2.36</t>
  </si>
  <si>
    <t>15.038.0321-0</t>
  </si>
  <si>
    <t>JOELHO 45º SOLDAVEL,COM DIAMETRO DE 25MM.FORNECIMENTO</t>
  </si>
  <si>
    <t>13.2.37</t>
  </si>
  <si>
    <t>15.038.0336-0</t>
  </si>
  <si>
    <t>JOELHO 90º SOLDAVEL,COM DIAMETRO DE 25MM.FORNECIMENTO</t>
  </si>
  <si>
    <t>11,00</t>
  </si>
  <si>
    <t>13.2.38</t>
  </si>
  <si>
    <t>052078</t>
  </si>
  <si>
    <t>VALVULA DE RETENCAO HORIZONTAL 3/4””</t>
  </si>
  <si>
    <t>13.2.39</t>
  </si>
  <si>
    <t>15.038.0339-0</t>
  </si>
  <si>
    <t>JOELHO 90º SOLDAVEL,COM DIAMETRO DE 50MM.FORNECIMENTO</t>
  </si>
  <si>
    <t>13.2.40</t>
  </si>
  <si>
    <t>15.038.0340-0</t>
  </si>
  <si>
    <t>JOELHO 90º SOLDAVEL,COM DIAMETRO DE 60MM.FORNECIMENTO</t>
  </si>
  <si>
    <t>13,00</t>
  </si>
  <si>
    <t>13.2.41</t>
  </si>
  <si>
    <t>15.038.0457-0</t>
  </si>
  <si>
    <t>JOELHO 90º SOLDAVEL E COM BUCHA DE LATAO,COM DIAMETRO DE 25M MX3/4".FORNECIMENTO</t>
  </si>
  <si>
    <t>72,00</t>
  </si>
  <si>
    <t>13.2.42</t>
  </si>
  <si>
    <t>15.038.0424-0</t>
  </si>
  <si>
    <t>UNIAO SOLDAVEL,COM DIAMETRO DE 50MM.FORNECIMENTO</t>
  </si>
  <si>
    <t>8,00</t>
  </si>
  <si>
    <t>13.2.43</t>
  </si>
  <si>
    <t>15.038.0425-0</t>
  </si>
  <si>
    <t>UNIAO SOLDAVEL,COM DIAMETRO DE 60MM.FORNECIMENTO</t>
  </si>
  <si>
    <t>22,00</t>
  </si>
  <si>
    <t>13.2.44</t>
  </si>
  <si>
    <t>15.030.0056-0</t>
  </si>
  <si>
    <t>VALVULA DE PE,COM CRIVO EM PVC,SOLDAVEL,COM DIAMETRO DE 50MM .FORNECIMENTO E COLOCACAO</t>
  </si>
  <si>
    <t>13.2.45</t>
  </si>
  <si>
    <t>15.030.0078-0</t>
  </si>
  <si>
    <t>VALVULA DE RETENCAO VERTICAL,EM PVC,SOLDAVEL,COM DIAMETRO DE 60MM.FORNECIMENTO E COLOCACAO</t>
  </si>
  <si>
    <t>13.2.46</t>
  </si>
  <si>
    <t>95252</t>
  </si>
  <si>
    <t>VÁLVULA DE ESFERA BRUTA, BRONZE, ROSCÁVEL, 1 1/2'' - FORNECIMENTO E INSTALAÇÃO. AF_08/2021</t>
  </si>
  <si>
    <t>14,00</t>
  </si>
  <si>
    <t>13.2.47</t>
  </si>
  <si>
    <t>95249</t>
  </si>
  <si>
    <t>VÁLVULA DE ESFERA BRUTA, BRONZE, ROSCÁVEL, 3/4'' - FORNECIMENTO E INSTALAÇÃO. AF_08/2021</t>
  </si>
  <si>
    <t>13.2.48</t>
  </si>
  <si>
    <t>070105</t>
  </si>
  <si>
    <t>MOTO BOMBA MEGABLOC METB040-025-160GG 4CVTRIF.220/380/440KSB</t>
  </si>
  <si>
    <t>15</t>
  </si>
  <si>
    <t>Resumo do Critério</t>
  </si>
  <si>
    <t>Tipo</t>
  </si>
  <si>
    <t>Elementos</t>
  </si>
  <si>
    <t>Nome do Subcritério</t>
  </si>
  <si>
    <t>Categoria</t>
  </si>
  <si>
    <t>Conexões de tubo (Afastamento)</t>
  </si>
  <si>
    <t/>
  </si>
  <si>
    <t>Adicionar a</t>
  </si>
  <si>
    <t>Seleção</t>
  </si>
  <si>
    <t>Afastamento</t>
  </si>
  <si>
    <t>Filtro de Família</t>
  </si>
  <si>
    <t>Família</t>
  </si>
  <si>
    <t>AF_Soldavel_Luva</t>
  </si>
  <si>
    <t>Standard</t>
  </si>
  <si>
    <t>Ou</t>
  </si>
  <si>
    <t>Filtro de Parâmetro</t>
  </si>
  <si>
    <t>Comparação</t>
  </si>
  <si>
    <t>Valor</t>
  </si>
  <si>
    <t>Parâmetro</t>
  </si>
  <si>
    <t>Instância</t>
  </si>
  <si>
    <t>Igual a</t>
  </si>
  <si>
    <t xml:space="preserve">Luva Soldável 25mm, PVC Marrom, Água Fria </t>
  </si>
  <si>
    <t>DarivaBIM: Descrição</t>
  </si>
  <si>
    <t>E</t>
  </si>
  <si>
    <t>2</t>
  </si>
  <si>
    <t xml:space="preserve">Luva Soldável 60mm, PVC Marrom, Água Fria </t>
  </si>
  <si>
    <t>1</t>
  </si>
  <si>
    <t xml:space="preserve">Luva Soldável 50mm, PVC Marrom, Água Fria </t>
  </si>
  <si>
    <t>17</t>
  </si>
  <si>
    <t>Filtro de Fase</t>
  </si>
  <si>
    <t>Criado em</t>
  </si>
  <si>
    <t>Demolido em</t>
  </si>
  <si>
    <t>------</t>
  </si>
  <si>
    <t>AF_Soldavel_Luva com Bucha de Latao</t>
  </si>
  <si>
    <t xml:space="preserve">Luva Soldável e com Bucha de Latão 25 x 3/4'', PVC Marrom, Água Fria </t>
  </si>
  <si>
    <t>12</t>
  </si>
  <si>
    <t>AF_Soldavel_Luva de Reducao</t>
  </si>
  <si>
    <t>Luva de Redução Soldável 50x25mm, PVC Marrom, Água Fria</t>
  </si>
  <si>
    <t>222</t>
  </si>
  <si>
    <t>Acessórios do tubo (A)</t>
  </si>
  <si>
    <t>A</t>
  </si>
  <si>
    <t>Perfilado Perfurado Galvanizado - ERIKBIM (1)</t>
  </si>
  <si>
    <t>19x38 mm</t>
  </si>
  <si>
    <t>AF_Hidrômetro geral</t>
  </si>
  <si>
    <t>46</t>
  </si>
  <si>
    <t>VLV_Registro de gaveta</t>
  </si>
  <si>
    <t>3/4"</t>
  </si>
  <si>
    <t>Registro de gaveta 3/4"</t>
  </si>
  <si>
    <t>AF_Registro de Pressão</t>
  </si>
  <si>
    <t>Ø3/4" (25mm)</t>
  </si>
  <si>
    <t>Registro de pressão DocolBase 3/4"</t>
  </si>
  <si>
    <t>AF_Registro Esfera VS</t>
  </si>
  <si>
    <t>Soldável - 25 mm</t>
  </si>
  <si>
    <t>Registro Esfera VS Soldável 25mm</t>
  </si>
  <si>
    <t>16</t>
  </si>
  <si>
    <t>Soldável - 50 mm</t>
  </si>
  <si>
    <t>Registro Esfera VS Soldável 50mm</t>
  </si>
  <si>
    <t>Soldável com união - 50 mm</t>
  </si>
  <si>
    <t>Registro Esfera VS Soldável com União 50mm</t>
  </si>
  <si>
    <t>10</t>
  </si>
  <si>
    <t>Dividido por</t>
  </si>
  <si>
    <t>Soldável - 60 mm</t>
  </si>
  <si>
    <t>Registro Esfera VS Soldável 60mm</t>
  </si>
  <si>
    <t>Soldável com União - 60 mm</t>
  </si>
  <si>
    <t>Registro Esfera VS Soldável Com União 60mm</t>
  </si>
  <si>
    <t>18</t>
  </si>
  <si>
    <t>Conexões de tubo</t>
  </si>
  <si>
    <t>Tê de Redução Soldável 50x25mm, PVC Marrom, Água Fria</t>
  </si>
  <si>
    <t>34</t>
  </si>
  <si>
    <t>Tê Soldável 25mm, PVC Marrom, Água Fria</t>
  </si>
  <si>
    <t>30</t>
  </si>
  <si>
    <t>Tê Soldável 50mm, PVC Marrom, Água Fria</t>
  </si>
  <si>
    <t>19</t>
  </si>
  <si>
    <t>Tê Soldável 60mm, PVC Marrom, Água Fria</t>
  </si>
  <si>
    <t>4</t>
  </si>
  <si>
    <t>AF_Soldavel_Te com Bucha de Latao</t>
  </si>
  <si>
    <t xml:space="preserve">Tê Soldável com Bucha de Latão na Bolsa Central 25 x 3/4'', PVC Marrom, Água Fria </t>
  </si>
  <si>
    <t>3</t>
  </si>
  <si>
    <t>Peças hidrossanitárias (Afastamento Adaptador)</t>
  </si>
  <si>
    <t>Afastamento Adaptador</t>
  </si>
  <si>
    <t>PÇ_Torneira boia_Fortlev</t>
  </si>
  <si>
    <t>1/2"</t>
  </si>
  <si>
    <t>Torneira bóia 1/2"</t>
  </si>
  <si>
    <t>AF_Soldavel_Adaptador para Caixa Dagua</t>
  </si>
  <si>
    <t>Adaptador Soldável com Anel para Caixa d'Água 50mm, PVC Marrom</t>
  </si>
  <si>
    <t>Tubulação</t>
  </si>
  <si>
    <t>Comprimento</t>
  </si>
  <si>
    <t>25,00 mmø</t>
  </si>
  <si>
    <t>Tamanho</t>
  </si>
  <si>
    <t>32,00 mmø</t>
  </si>
  <si>
    <t>Tubulação (Comprimento)</t>
  </si>
  <si>
    <t>Tipos de tubos</t>
  </si>
  <si>
    <t>AF_Tubo Marrom Soldável</t>
  </si>
  <si>
    <t>Tubo Soldável Marrom</t>
  </si>
  <si>
    <t>60,00 mmø</t>
  </si>
  <si>
    <t>278,6</t>
  </si>
  <si>
    <t>50,00 mmø</t>
  </si>
  <si>
    <t>Adaptador Soldável com Anel para Caixa d'Água 60mm, PVC Marrom</t>
  </si>
  <si>
    <t>AF_Soldavel_Curva de Transposicao</t>
  </si>
  <si>
    <t xml:space="preserve">Curva de Transposição Soldável 25mm, PVC Marrom, Água Fria </t>
  </si>
  <si>
    <t>AF_Soldavel_Bucha de Reducao Longa</t>
  </si>
  <si>
    <t xml:space="preserve">Bucha de Redução Soldável Longa 60x32mm, PVC Marrom, Água Fria </t>
  </si>
  <si>
    <t>6</t>
  </si>
  <si>
    <t>RES_Caixa dagua de polietileno_Fortlev</t>
  </si>
  <si>
    <t>3000 L</t>
  </si>
  <si>
    <t>Caixa d’água de polietileno, 3.000 litros - FortLev</t>
  </si>
  <si>
    <t>24</t>
  </si>
  <si>
    <t>Curva 90º Soldável 60mm, PVC Marrom, Água Fria</t>
  </si>
  <si>
    <t>5</t>
  </si>
  <si>
    <t>Bóia Eletrônica 2022</t>
  </si>
  <si>
    <t>CHAVE DE BOIA AUTOMÁTICA SUPERIOR/INFERIOR 15A/250V</t>
  </si>
  <si>
    <t>Curva 45º Soldável 25mm, PVC Marrom, Água Fria</t>
  </si>
  <si>
    <t>Acessórios do tubo (Comprimento)</t>
  </si>
  <si>
    <t>AF_Soldavel_Curva 45_90</t>
  </si>
  <si>
    <t>Curva 45º Soldável 60mm, PVC Marrom, Água Fria</t>
  </si>
  <si>
    <t>137</t>
  </si>
  <si>
    <t>Curva 90º Soldável 25mm, PVC Marrom, Água Fria</t>
  </si>
  <si>
    <t>48</t>
  </si>
  <si>
    <t>Curva 90º Soldável 50mm, PVC Marrom, Água Fria</t>
  </si>
  <si>
    <t>Joelho 45º Soldável 25mm, PVC Marrom, Água Fria</t>
  </si>
  <si>
    <t>11</t>
  </si>
  <si>
    <t>Joelho 90º Soldável 25mm, PVC Marrom, Água Fria</t>
  </si>
  <si>
    <t>VLV_Valvula de esfera com alavanca vermelha1</t>
  </si>
  <si>
    <t>3/4" 2</t>
  </si>
  <si>
    <t>Válvula de esfera com alavanca vermelha 3/4"</t>
  </si>
  <si>
    <t>Joelho 90º Soldável 50mm, PVC Marrom, Água Fria</t>
  </si>
  <si>
    <t>13</t>
  </si>
  <si>
    <t>Joelho 90º Soldável 60mm, PVC Marrom, Água Fria</t>
  </si>
  <si>
    <t>72</t>
  </si>
  <si>
    <t>AF_Soldavel_Joelho 90 com Bucha de Latao</t>
  </si>
  <si>
    <t xml:space="preserve">Joelho 90º Soldável com Bucha de Latão 25 x 3/4'', PVC Marrom, Água Fria </t>
  </si>
  <si>
    <t>8</t>
  </si>
  <si>
    <t>AF_Soldavel_Uniao</t>
  </si>
  <si>
    <t xml:space="preserve">União Soldável 50mm, PVC Marrom, Água Fria </t>
  </si>
  <si>
    <t>22</t>
  </si>
  <si>
    <t xml:space="preserve">União Soldável 60mm, PVC Marrom, Água Fria </t>
  </si>
  <si>
    <t>Válvula de pé com Crivo Soldável 50mm</t>
  </si>
  <si>
    <t>Válvula de Retenção</t>
  </si>
  <si>
    <t>14</t>
  </si>
  <si>
    <t>Válvula de esfera com alavanca vermelha 1 1/2"</t>
  </si>
  <si>
    <t>Bomba de recalque</t>
  </si>
  <si>
    <t>Projeto</t>
  </si>
  <si>
    <t>Vínculo</t>
  </si>
  <si>
    <t>Elemento</t>
  </si>
  <si>
    <t>Id do Revit</t>
  </si>
  <si>
    <t>Totais:</t>
  </si>
  <si>
    <t>BE-PMSa-MOD-HID-ESCOLAAUTISTA-EX-000-R00</t>
  </si>
  <si>
    <t>28157589</t>
  </si>
  <si>
    <t>28157593</t>
  </si>
  <si>
    <t>28157597</t>
  </si>
  <si>
    <t>28157601</t>
  </si>
  <si>
    <t>28157605</t>
  </si>
  <si>
    <t>28157609</t>
  </si>
  <si>
    <t>28157613</t>
  </si>
  <si>
    <t>28157617</t>
  </si>
  <si>
    <t>28157638</t>
  </si>
  <si>
    <t>28157642</t>
  </si>
  <si>
    <t>28157758</t>
  </si>
  <si>
    <t>28157822</t>
  </si>
  <si>
    <t>28157826</t>
  </si>
  <si>
    <t>28157846</t>
  </si>
  <si>
    <t>28157874</t>
  </si>
  <si>
    <t>28157580</t>
  </si>
  <si>
    <t>28157850</t>
  </si>
  <si>
    <t>28157762</t>
  </si>
  <si>
    <t>28088778</t>
  </si>
  <si>
    <t>28088779</t>
  </si>
  <si>
    <t>28034466</t>
  </si>
  <si>
    <t>28034747</t>
  </si>
  <si>
    <t>28034867</t>
  </si>
  <si>
    <t>28035012</t>
  </si>
  <si>
    <t>28035075</t>
  </si>
  <si>
    <t>28035177</t>
  </si>
  <si>
    <t>28035240</t>
  </si>
  <si>
    <t>28035342</t>
  </si>
  <si>
    <t>28035432</t>
  </si>
  <si>
    <t>28037096</t>
  </si>
  <si>
    <t>28037197</t>
  </si>
  <si>
    <t>28037344</t>
  </si>
  <si>
    <t>28037355</t>
  </si>
  <si>
    <t>28037631</t>
  </si>
  <si>
    <t>28033498</t>
  </si>
  <si>
    <t>28482466</t>
  </si>
  <si>
    <t>28578581</t>
  </si>
  <si>
    <t>28669040</t>
  </si>
  <si>
    <t>28669196</t>
  </si>
  <si>
    <t>28381449</t>
  </si>
  <si>
    <t>28394006</t>
  </si>
  <si>
    <t>28402441</t>
  </si>
  <si>
    <t>28155893</t>
  </si>
  <si>
    <t>28568358</t>
  </si>
  <si>
    <t>28568503</t>
  </si>
  <si>
    <t>28483855</t>
  </si>
  <si>
    <t>28499980</t>
  </si>
  <si>
    <t>28562218</t>
  </si>
  <si>
    <t>28562228</t>
  </si>
  <si>
    <t>28562240</t>
  </si>
  <si>
    <t>28562250</t>
  </si>
  <si>
    <t>28562260</t>
  </si>
  <si>
    <t>28562318</t>
  </si>
  <si>
    <t>28562320</t>
  </si>
  <si>
    <t>28562322</t>
  </si>
  <si>
    <t>28562324</t>
  </si>
  <si>
    <t>28562326</t>
  </si>
  <si>
    <t>28562328</t>
  </si>
  <si>
    <t>28563098</t>
  </si>
  <si>
    <t>28563119</t>
  </si>
  <si>
    <t>28563121</t>
  </si>
  <si>
    <t>28563134</t>
  </si>
  <si>
    <t>28563136</t>
  </si>
  <si>
    <t>28563194</t>
  </si>
  <si>
    <t>28563196</t>
  </si>
  <si>
    <t>28563198</t>
  </si>
  <si>
    <t>28563212</t>
  </si>
  <si>
    <t>28563214</t>
  </si>
  <si>
    <t>28563536</t>
  </si>
  <si>
    <t>28563538</t>
  </si>
  <si>
    <t>28563540</t>
  </si>
  <si>
    <t>28563609</t>
  </si>
  <si>
    <t>28563611</t>
  </si>
  <si>
    <t>28563613</t>
  </si>
  <si>
    <t>28563639</t>
  </si>
  <si>
    <t>28563661</t>
  </si>
  <si>
    <t>28563716</t>
  </si>
  <si>
    <t>28563718</t>
  </si>
  <si>
    <t>28563720</t>
  </si>
  <si>
    <t>28563722</t>
  </si>
  <si>
    <t>28563724</t>
  </si>
  <si>
    <t>28563726</t>
  </si>
  <si>
    <t>28237103</t>
  </si>
  <si>
    <t>28249135</t>
  </si>
  <si>
    <t>28257527</t>
  </si>
  <si>
    <t>28553876</t>
  </si>
  <si>
    <t>28557410</t>
  </si>
  <si>
    <t>28557420</t>
  </si>
  <si>
    <t>28557501</t>
  </si>
  <si>
    <t>28557528</t>
  </si>
  <si>
    <t>28557538</t>
  </si>
  <si>
    <t>28557548</t>
  </si>
  <si>
    <t>28557558</t>
  </si>
  <si>
    <t>28557598</t>
  </si>
  <si>
    <t>28557609</t>
  </si>
  <si>
    <t>28557620</t>
  </si>
  <si>
    <t>28557633</t>
  </si>
  <si>
    <t>28557671</t>
  </si>
  <si>
    <t>28557684</t>
  </si>
  <si>
    <t>28557721</t>
  </si>
  <si>
    <t>28557783</t>
  </si>
  <si>
    <t>28557786</t>
  </si>
  <si>
    <t>28557812</t>
  </si>
  <si>
    <t>28557815</t>
  </si>
  <si>
    <t>28557818</t>
  </si>
  <si>
    <t>28557821</t>
  </si>
  <si>
    <t>28557844</t>
  </si>
  <si>
    <t>28557847</t>
  </si>
  <si>
    <t>28557850</t>
  </si>
  <si>
    <t>28557889</t>
  </si>
  <si>
    <t>28557900</t>
  </si>
  <si>
    <t>28558099</t>
  </si>
  <si>
    <t>28558111</t>
  </si>
  <si>
    <t>28558121</t>
  </si>
  <si>
    <t>28558159</t>
  </si>
  <si>
    <t>28558161</t>
  </si>
  <si>
    <t>28558163</t>
  </si>
  <si>
    <t>28558165</t>
  </si>
  <si>
    <t>28558167</t>
  </si>
  <si>
    <t>28558430</t>
  </si>
  <si>
    <t>28558447</t>
  </si>
  <si>
    <t>28558465</t>
  </si>
  <si>
    <t>28558467</t>
  </si>
  <si>
    <t>28558469</t>
  </si>
  <si>
    <t>28558519</t>
  </si>
  <si>
    <t>28558602</t>
  </si>
  <si>
    <t>28558648</t>
  </si>
  <si>
    <t>28558668</t>
  </si>
  <si>
    <t>28558670</t>
  </si>
  <si>
    <t>28558739</t>
  </si>
  <si>
    <t>28558765</t>
  </si>
  <si>
    <t>28558775</t>
  </si>
  <si>
    <t>28558799</t>
  </si>
  <si>
    <t>28558801</t>
  </si>
  <si>
    <t>28558966</t>
  </si>
  <si>
    <t>28558968</t>
  </si>
  <si>
    <t>28558985</t>
  </si>
  <si>
    <t>28558995</t>
  </si>
  <si>
    <t>28559015</t>
  </si>
  <si>
    <t>28559017</t>
  </si>
  <si>
    <t>28559039</t>
  </si>
  <si>
    <t>28559062</t>
  </si>
  <si>
    <t>28559182</t>
  </si>
  <si>
    <t>28511236</t>
  </si>
  <si>
    <t>28511297</t>
  </si>
  <si>
    <t>28511307</t>
  </si>
  <si>
    <t>28511317</t>
  </si>
  <si>
    <t>28511333</t>
  </si>
  <si>
    <t>28511343</t>
  </si>
  <si>
    <t>28511353</t>
  </si>
  <si>
    <t>28511363</t>
  </si>
  <si>
    <t>28511373</t>
  </si>
  <si>
    <t>28511383</t>
  </si>
  <si>
    <t>28511395</t>
  </si>
  <si>
    <t>28511424</t>
  </si>
  <si>
    <t>28511443</t>
  </si>
  <si>
    <t>28511473</t>
  </si>
  <si>
    <t>28511644</t>
  </si>
  <si>
    <t>28511656</t>
  </si>
  <si>
    <t>28511666</t>
  </si>
  <si>
    <t>28511678</t>
  </si>
  <si>
    <t>28511688</t>
  </si>
  <si>
    <t>28511698</t>
  </si>
  <si>
    <t>28511710</t>
  </si>
  <si>
    <t>28511727</t>
  </si>
  <si>
    <t>28511850</t>
  </si>
  <si>
    <t>28511862</t>
  </si>
  <si>
    <t>28511872</t>
  </si>
  <si>
    <t>28511884</t>
  </si>
  <si>
    <t>28511924</t>
  </si>
  <si>
    <t>28511991</t>
  </si>
  <si>
    <t>28512003</t>
  </si>
  <si>
    <t>28512013</t>
  </si>
  <si>
    <t>28512139</t>
  </si>
  <si>
    <t>28518726</t>
  </si>
  <si>
    <t>28518754</t>
  </si>
  <si>
    <t>28518774</t>
  </si>
  <si>
    <t>28518786</t>
  </si>
  <si>
    <t>28518796</t>
  </si>
  <si>
    <t>28518808</t>
  </si>
  <si>
    <t>28518818</t>
  </si>
  <si>
    <t>28518828</t>
  </si>
  <si>
    <t>28518838</t>
  </si>
  <si>
    <t>28518850</t>
  </si>
  <si>
    <t>28518860</t>
  </si>
  <si>
    <t>28518872</t>
  </si>
  <si>
    <t>28518882</t>
  </si>
  <si>
    <t>28518904</t>
  </si>
  <si>
    <t>28518906</t>
  </si>
  <si>
    <t>28518908</t>
  </si>
  <si>
    <t>28518918</t>
  </si>
  <si>
    <t>28518920</t>
  </si>
  <si>
    <t>28518922</t>
  </si>
  <si>
    <t>28518953</t>
  </si>
  <si>
    <t>28519078</t>
  </si>
  <si>
    <t>28519210</t>
  </si>
  <si>
    <t>28519220</t>
  </si>
  <si>
    <t>28519232</t>
  </si>
  <si>
    <t>28519242</t>
  </si>
  <si>
    <t>28519275</t>
  </si>
  <si>
    <t>28519299</t>
  </si>
  <si>
    <t>28519324</t>
  </si>
  <si>
    <t>28519346</t>
  </si>
  <si>
    <t>28519348</t>
  </si>
  <si>
    <t>28519390</t>
  </si>
  <si>
    <t>28519402</t>
  </si>
  <si>
    <t>28519414</t>
  </si>
  <si>
    <t>28519432</t>
  </si>
  <si>
    <t>28519472</t>
  </si>
  <si>
    <t>28519484</t>
  </si>
  <si>
    <t>28519498</t>
  </si>
  <si>
    <t>28519506</t>
  </si>
  <si>
    <t>28519539</t>
  </si>
  <si>
    <t>28519541</t>
  </si>
  <si>
    <t>28519595</t>
  </si>
  <si>
    <t>28519614</t>
  </si>
  <si>
    <t>28519616</t>
  </si>
  <si>
    <t>28519626</t>
  </si>
  <si>
    <t>28519628</t>
  </si>
  <si>
    <t>28519640</t>
  </si>
  <si>
    <t>28519642</t>
  </si>
  <si>
    <t>28519654</t>
  </si>
  <si>
    <t>28519656</t>
  </si>
  <si>
    <t>28519666</t>
  </si>
  <si>
    <t>28519668</t>
  </si>
  <si>
    <t>28521795</t>
  </si>
  <si>
    <t>28521829</t>
  </si>
  <si>
    <t>28521841</t>
  </si>
  <si>
    <t>28521851</t>
  </si>
  <si>
    <t>28526898</t>
  </si>
  <si>
    <t>28539709</t>
  </si>
  <si>
    <t>28539726</t>
  </si>
  <si>
    <t>28539741</t>
  </si>
  <si>
    <t>28539825</t>
  </si>
  <si>
    <t>28539832</t>
  </si>
  <si>
    <t>28539851</t>
  </si>
  <si>
    <t>28539858</t>
  </si>
  <si>
    <t>28484747</t>
  </si>
  <si>
    <t>28492208</t>
  </si>
  <si>
    <t>28495803</t>
  </si>
  <si>
    <t>28495817</t>
  </si>
  <si>
    <t>28495833</t>
  </si>
  <si>
    <t>28495853</t>
  </si>
  <si>
    <t>28495868</t>
  </si>
  <si>
    <t>28495881</t>
  </si>
  <si>
    <t>28495896</t>
  </si>
  <si>
    <t>28495909</t>
  </si>
  <si>
    <t>28495922</t>
  </si>
  <si>
    <t>28495982</t>
  </si>
  <si>
    <t>28499607</t>
  </si>
  <si>
    <t>28499619</t>
  </si>
  <si>
    <t>28500593</t>
  </si>
  <si>
    <t>28500595</t>
  </si>
  <si>
    <t>28500637</t>
  </si>
  <si>
    <t>28500639</t>
  </si>
  <si>
    <t>28500641</t>
  </si>
  <si>
    <t>28500655</t>
  </si>
  <si>
    <t>28500657</t>
  </si>
  <si>
    <t>28500962</t>
  </si>
  <si>
    <t>28506524</t>
  </si>
  <si>
    <t>28511087</t>
  </si>
  <si>
    <t>28511097</t>
  </si>
  <si>
    <t>28511151</t>
  </si>
  <si>
    <t>28511153</t>
  </si>
  <si>
    <t>28511155</t>
  </si>
  <si>
    <t>28511165</t>
  </si>
  <si>
    <t>28511167</t>
  </si>
  <si>
    <t>28511169</t>
  </si>
  <si>
    <t>28511187</t>
  </si>
  <si>
    <t>28088777</t>
  </si>
  <si>
    <t>28087808</t>
  </si>
  <si>
    <t>28067344</t>
  </si>
  <si>
    <t>28033807</t>
  </si>
  <si>
    <t>28034201</t>
  </si>
  <si>
    <t>28034477</t>
  </si>
  <si>
    <t>28034526</t>
  </si>
  <si>
    <t>28034758</t>
  </si>
  <si>
    <t>28034829</t>
  </si>
  <si>
    <t>28034878</t>
  </si>
  <si>
    <t>28034955</t>
  </si>
  <si>
    <t>28035023</t>
  </si>
  <si>
    <t>28035050</t>
  </si>
  <si>
    <t>28035086</t>
  </si>
  <si>
    <t>28035114</t>
  </si>
  <si>
    <t>28035188</t>
  </si>
  <si>
    <t>28035216</t>
  </si>
  <si>
    <t>28035251</t>
  </si>
  <si>
    <t>28035279</t>
  </si>
  <si>
    <t>28035353</t>
  </si>
  <si>
    <t>28035380</t>
  </si>
  <si>
    <t>28035443</t>
  </si>
  <si>
    <t>28035471</t>
  </si>
  <si>
    <t>28035848</t>
  </si>
  <si>
    <t>28036572</t>
  </si>
  <si>
    <t>28037266</t>
  </si>
  <si>
    <t>28037305</t>
  </si>
  <si>
    <t>28037642</t>
  </si>
  <si>
    <t>28037854</t>
  </si>
  <si>
    <t>28038469</t>
  </si>
  <si>
    <t>28038836</t>
  </si>
  <si>
    <t>28039279</t>
  </si>
  <si>
    <t>28039735</t>
  </si>
  <si>
    <t>28039891</t>
  </si>
  <si>
    <t>28040090</t>
  </si>
  <si>
    <t>28040478</t>
  </si>
  <si>
    <t>28040654</t>
  </si>
  <si>
    <t>28041376</t>
  </si>
  <si>
    <t>28041480</t>
  </si>
  <si>
    <t>28041511</t>
  </si>
  <si>
    <t>28041726</t>
  </si>
  <si>
    <t>28041807</t>
  </si>
  <si>
    <t>28041922</t>
  </si>
  <si>
    <t>28042921</t>
  </si>
  <si>
    <t>28078910</t>
  </si>
  <si>
    <t>28064432</t>
  </si>
  <si>
    <t>28064515</t>
  </si>
  <si>
    <t>28034464</t>
  </si>
  <si>
    <t>28034745</t>
  </si>
  <si>
    <t>28034865</t>
  </si>
  <si>
    <t>28035010</t>
  </si>
  <si>
    <t>28035073</t>
  </si>
  <si>
    <t>28035175</t>
  </si>
  <si>
    <t>28035238</t>
  </si>
  <si>
    <t>28035340</t>
  </si>
  <si>
    <t>28035430</t>
  </si>
  <si>
    <t>28037094</t>
  </si>
  <si>
    <t>28037195</t>
  </si>
  <si>
    <t>28037342</t>
  </si>
  <si>
    <t>28037353</t>
  </si>
  <si>
    <t>28037629</t>
  </si>
  <si>
    <t>28033496</t>
  </si>
  <si>
    <t>28089048</t>
  </si>
  <si>
    <t>28589968</t>
  </si>
  <si>
    <t>28086567</t>
  </si>
  <si>
    <t>28086786</t>
  </si>
  <si>
    <t>28194084</t>
  </si>
  <si>
    <t>28081919</t>
  </si>
  <si>
    <t>28082246</t>
  </si>
  <si>
    <t>28082404</t>
  </si>
  <si>
    <t>28220797</t>
  </si>
  <si>
    <t>28221808</t>
  </si>
  <si>
    <t>28222548</t>
  </si>
  <si>
    <t>28115233</t>
  </si>
  <si>
    <t>28139280</t>
  </si>
  <si>
    <t>28139295</t>
  </si>
  <si>
    <t>28046991</t>
  </si>
  <si>
    <t>28046994</t>
  </si>
  <si>
    <t>28047759</t>
  </si>
  <si>
    <t>28047762</t>
  </si>
  <si>
    <t>28114934</t>
  </si>
  <si>
    <t>28076396</t>
  </si>
  <si>
    <t>28076466</t>
  </si>
  <si>
    <t>28144320</t>
  </si>
  <si>
    <t>28376811</t>
  </si>
  <si>
    <t>28377964</t>
  </si>
  <si>
    <t>28046919</t>
  </si>
  <si>
    <t>28046945</t>
  </si>
  <si>
    <t>28047687</t>
  </si>
  <si>
    <t>28047713</t>
  </si>
  <si>
    <t>28183742</t>
  </si>
  <si>
    <t>28190808</t>
  </si>
  <si>
    <t>28196648</t>
  </si>
  <si>
    <t>28196651</t>
  </si>
  <si>
    <t>28196654</t>
  </si>
  <si>
    <t>28196657</t>
  </si>
  <si>
    <t>28196660</t>
  </si>
  <si>
    <t>28196680</t>
  </si>
  <si>
    <t>28196722</t>
  </si>
  <si>
    <t>28196731</t>
  </si>
  <si>
    <t>28197490</t>
  </si>
  <si>
    <t>28499827</t>
  </si>
  <si>
    <t>28500096</t>
  </si>
  <si>
    <t>28172800</t>
  </si>
  <si>
    <t>28172841</t>
  </si>
  <si>
    <t>28064563</t>
  </si>
  <si>
    <t>28202655</t>
  </si>
  <si>
    <t>28202854</t>
  </si>
  <si>
    <t>28088187</t>
  </si>
  <si>
    <t>28135992</t>
  </si>
  <si>
    <t>28066404</t>
  </si>
  <si>
    <t>28068915</t>
  </si>
  <si>
    <t>28069271</t>
  </si>
  <si>
    <t>28069467</t>
  </si>
  <si>
    <t>28069621</t>
  </si>
  <si>
    <t>28092416</t>
  </si>
  <si>
    <t>28214734</t>
  </si>
  <si>
    <t>28033739</t>
  </si>
  <si>
    <t>28034475</t>
  </si>
  <si>
    <t>28034756</t>
  </si>
  <si>
    <t>28034876</t>
  </si>
  <si>
    <t>28035021</t>
  </si>
  <si>
    <t>28035084</t>
  </si>
  <si>
    <t>28035186</t>
  </si>
  <si>
    <t>28035249</t>
  </si>
  <si>
    <t>28035351</t>
  </si>
  <si>
    <t>28035441</t>
  </si>
  <si>
    <t>28460120</t>
  </si>
  <si>
    <t>28037217</t>
  </si>
  <si>
    <t>28037360</t>
  </si>
  <si>
    <t>28037640</t>
  </si>
  <si>
    <t>28039077</t>
  </si>
  <si>
    <t>28323301</t>
  </si>
  <si>
    <t>28325222</t>
  </si>
  <si>
    <t>28135112</t>
  </si>
  <si>
    <t>28394751</t>
  </si>
  <si>
    <t>28298072</t>
  </si>
  <si>
    <t>28064765</t>
  </si>
  <si>
    <t>28483914</t>
  </si>
  <si>
    <t>28063560</t>
  </si>
  <si>
    <t>28063704</t>
  </si>
  <si>
    <t>28064137</t>
  </si>
  <si>
    <t>28183740</t>
  </si>
  <si>
    <t>28183746</t>
  </si>
  <si>
    <t>28183750</t>
  </si>
  <si>
    <t>28183754</t>
  </si>
  <si>
    <t>28192930</t>
  </si>
  <si>
    <t>28193243</t>
  </si>
  <si>
    <t>28193733</t>
  </si>
  <si>
    <t>28193840</t>
  </si>
  <si>
    <t>28195292</t>
  </si>
  <si>
    <t>28195581</t>
  </si>
  <si>
    <t>28195589</t>
  </si>
  <si>
    <t>28092498</t>
  </si>
  <si>
    <t>28216243</t>
  </si>
  <si>
    <t>28151801</t>
  </si>
  <si>
    <t>28225293</t>
  </si>
  <si>
    <t>28219577</t>
  </si>
  <si>
    <t>28220810</t>
  </si>
  <si>
    <t>28221823</t>
  </si>
  <si>
    <t>28222559</t>
  </si>
  <si>
    <t>28272026</t>
  </si>
  <si>
    <t>28047095</t>
  </si>
  <si>
    <t>28047861</t>
  </si>
  <si>
    <t>28499797</t>
  </si>
  <si>
    <t>28500060</t>
  </si>
  <si>
    <t>28172804</t>
  </si>
  <si>
    <t>28172816</t>
  </si>
  <si>
    <t>28172845</t>
  </si>
  <si>
    <t>28172892</t>
  </si>
  <si>
    <t>28172903</t>
  </si>
  <si>
    <t>28180731</t>
  </si>
  <si>
    <t>28081528</t>
  </si>
  <si>
    <t>28081544</t>
  </si>
  <si>
    <t>28115261</t>
  </si>
  <si>
    <t>28139300</t>
  </si>
  <si>
    <t>28073998</t>
  </si>
  <si>
    <t>28046912</t>
  </si>
  <si>
    <t>28046917</t>
  </si>
  <si>
    <t>28046922</t>
  </si>
  <si>
    <t>28046934</t>
  </si>
  <si>
    <t>28046956</t>
  </si>
  <si>
    <t>28046966</t>
  </si>
  <si>
    <t>28046976</t>
  </si>
  <si>
    <t>28047680</t>
  </si>
  <si>
    <t>28047685</t>
  </si>
  <si>
    <t>28047690</t>
  </si>
  <si>
    <t>28047702</t>
  </si>
  <si>
    <t>28047724</t>
  </si>
  <si>
    <t>28047734</t>
  </si>
  <si>
    <t>28047744</t>
  </si>
  <si>
    <t>28035982</t>
  </si>
  <si>
    <t>28036418</t>
  </si>
  <si>
    <t>28037301</t>
  </si>
  <si>
    <t>28038718</t>
  </si>
  <si>
    <t>27956054</t>
  </si>
  <si>
    <t>27956215</t>
  </si>
  <si>
    <t>27942350</t>
  </si>
  <si>
    <t>27956048</t>
  </si>
  <si>
    <t>27956049</t>
  </si>
  <si>
    <t>27956052</t>
  </si>
  <si>
    <t>27956153</t>
  </si>
  <si>
    <t>27956154</t>
  </si>
  <si>
    <t>27956180</t>
  </si>
  <si>
    <t>27956181</t>
  </si>
  <si>
    <t>27956209</t>
  </si>
  <si>
    <t>27956210</t>
  </si>
  <si>
    <t>27956213</t>
  </si>
  <si>
    <t>27956238</t>
  </si>
  <si>
    <t>27956239</t>
  </si>
  <si>
    <t>27942348</t>
  </si>
  <si>
    <t>28153493</t>
  </si>
  <si>
    <t>28153949</t>
  </si>
  <si>
    <t>28154054</t>
  </si>
  <si>
    <t>28154348</t>
  </si>
  <si>
    <t>28154387</t>
  </si>
  <si>
    <t>28087814</t>
  </si>
  <si>
    <t>28088168</t>
  </si>
  <si>
    <t>28088188</t>
  </si>
  <si>
    <t>28088198</t>
  </si>
  <si>
    <t>28088211</t>
  </si>
  <si>
    <t>28088401</t>
  </si>
  <si>
    <t>28088846</t>
  </si>
  <si>
    <t>28088861</t>
  </si>
  <si>
    <t>28088873</t>
  </si>
  <si>
    <t>28088911</t>
  </si>
  <si>
    <t>28088919</t>
  </si>
  <si>
    <t>28088929</t>
  </si>
  <si>
    <t>28089050</t>
  </si>
  <si>
    <t>28089470</t>
  </si>
  <si>
    <t>28089638</t>
  </si>
  <si>
    <t>28089739</t>
  </si>
  <si>
    <t>28089817</t>
  </si>
  <si>
    <t>28089829</t>
  </si>
  <si>
    <t>28085591</t>
  </si>
  <si>
    <t>28085825</t>
  </si>
  <si>
    <t>28121788</t>
  </si>
  <si>
    <t>28121814</t>
  </si>
  <si>
    <t>28395226</t>
  </si>
  <si>
    <t>28135993</t>
  </si>
  <si>
    <t>28136012</t>
  </si>
  <si>
    <t>28136016</t>
  </si>
  <si>
    <t>28066405</t>
  </si>
  <si>
    <t>28067642</t>
  </si>
  <si>
    <t>28068630</t>
  </si>
  <si>
    <t>28069176</t>
  </si>
  <si>
    <t>28069319</t>
  </si>
  <si>
    <t>28069478</t>
  </si>
  <si>
    <t>28069632</t>
  </si>
  <si>
    <t>28183848</t>
  </si>
  <si>
    <t>28183948</t>
  </si>
  <si>
    <t>28183950</t>
  </si>
  <si>
    <t>28196127</t>
  </si>
  <si>
    <t>28196169</t>
  </si>
  <si>
    <t>28196598</t>
  </si>
  <si>
    <t>28196626</t>
  </si>
  <si>
    <t>28196717</t>
  </si>
  <si>
    <t>28198713</t>
  </si>
  <si>
    <t>28198735</t>
  </si>
  <si>
    <t>28712732</t>
  </si>
  <si>
    <t>28712744</t>
  </si>
  <si>
    <t>28713079</t>
  </si>
  <si>
    <t>28713105</t>
  </si>
  <si>
    <t>28713145</t>
  </si>
  <si>
    <t>28713635</t>
  </si>
  <si>
    <t>28713648</t>
  </si>
  <si>
    <t>28091907</t>
  </si>
  <si>
    <t>28091916</t>
  </si>
  <si>
    <t>28092311</t>
  </si>
  <si>
    <t>28092313</t>
  </si>
  <si>
    <t>28092385</t>
  </si>
  <si>
    <t>28092387</t>
  </si>
  <si>
    <t>28092427</t>
  </si>
  <si>
    <t>28092552</t>
  </si>
  <si>
    <t>28092605</t>
  </si>
  <si>
    <t>28477230</t>
  </si>
  <si>
    <t>28214371</t>
  </si>
  <si>
    <t>28594942</t>
  </si>
  <si>
    <t>28595054</t>
  </si>
  <si>
    <t>28595177</t>
  </si>
  <si>
    <t>28481147</t>
  </si>
  <si>
    <t>28481289</t>
  </si>
  <si>
    <t>28481569</t>
  </si>
  <si>
    <t>28338744</t>
  </si>
  <si>
    <t>28033813</t>
  </si>
  <si>
    <t>28033865</t>
  </si>
  <si>
    <t>28034037</t>
  </si>
  <si>
    <t>28034109</t>
  </si>
  <si>
    <t>28034207</t>
  </si>
  <si>
    <t>28034454</t>
  </si>
  <si>
    <t>28034456</t>
  </si>
  <si>
    <t>28034458</t>
  </si>
  <si>
    <t>28034469</t>
  </si>
  <si>
    <t>28034482</t>
  </si>
  <si>
    <t>28034484</t>
  </si>
  <si>
    <t>28034494</t>
  </si>
  <si>
    <t>28034522</t>
  </si>
  <si>
    <t>28034531</t>
  </si>
  <si>
    <t>28034735</t>
  </si>
  <si>
    <t>28034737</t>
  </si>
  <si>
    <t>28034739</t>
  </si>
  <si>
    <t>28034750</t>
  </si>
  <si>
    <t>28034763</t>
  </si>
  <si>
    <t>28034765</t>
  </si>
  <si>
    <t>28034775</t>
  </si>
  <si>
    <t>28034825</t>
  </si>
  <si>
    <t>28034834</t>
  </si>
  <si>
    <t>28034855</t>
  </si>
  <si>
    <t>28034857</t>
  </si>
  <si>
    <t>28034859</t>
  </si>
  <si>
    <t>28034870</t>
  </si>
  <si>
    <t>28034885</t>
  </si>
  <si>
    <t>28034895</t>
  </si>
  <si>
    <t>28034951</t>
  </si>
  <si>
    <t>28034960</t>
  </si>
  <si>
    <t>28035000</t>
  </si>
  <si>
    <t>28035002</t>
  </si>
  <si>
    <t>28035004</t>
  </si>
  <si>
    <t>28035015</t>
  </si>
  <si>
    <t>28035028</t>
  </si>
  <si>
    <t>28035030</t>
  </si>
  <si>
    <t>28035040</t>
  </si>
  <si>
    <t>28035046</t>
  </si>
  <si>
    <t>28035055</t>
  </si>
  <si>
    <t>28035063</t>
  </si>
  <si>
    <t>28035065</t>
  </si>
  <si>
    <t>28035067</t>
  </si>
  <si>
    <t>28035078</t>
  </si>
  <si>
    <t>28035091</t>
  </si>
  <si>
    <t>28035093</t>
  </si>
  <si>
    <t>28035103</t>
  </si>
  <si>
    <t>28035110</t>
  </si>
  <si>
    <t>28035119</t>
  </si>
  <si>
    <t>28035165</t>
  </si>
  <si>
    <t>28035167</t>
  </si>
  <si>
    <t>28035169</t>
  </si>
  <si>
    <t>28035180</t>
  </si>
  <si>
    <t>28035193</t>
  </si>
  <si>
    <t>28035195</t>
  </si>
  <si>
    <t>28035205</t>
  </si>
  <si>
    <t>28035212</t>
  </si>
  <si>
    <t>28035221</t>
  </si>
  <si>
    <t>28035228</t>
  </si>
  <si>
    <t>28035232</t>
  </si>
  <si>
    <t>28035243</t>
  </si>
  <si>
    <t>28035258</t>
  </si>
  <si>
    <t>28035268</t>
  </si>
  <si>
    <t>28035275</t>
  </si>
  <si>
    <t>28035284</t>
  </si>
  <si>
    <t>28035330</t>
  </si>
  <si>
    <t>28035332</t>
  </si>
  <si>
    <t>28035334</t>
  </si>
  <si>
    <t>28035345</t>
  </si>
  <si>
    <t>28035358</t>
  </si>
  <si>
    <t>28035360</t>
  </si>
  <si>
    <t>28035370</t>
  </si>
  <si>
    <t>28035376</t>
  </si>
  <si>
    <t>28035385</t>
  </si>
  <si>
    <t>28035420</t>
  </si>
  <si>
    <t>28035422</t>
  </si>
  <si>
    <t>28035424</t>
  </si>
  <si>
    <t>28035435</t>
  </si>
  <si>
    <t>28035448</t>
  </si>
  <si>
    <t>28035450</t>
  </si>
  <si>
    <t>28035460</t>
  </si>
  <si>
    <t>28035467</t>
  </si>
  <si>
    <t>28035476</t>
  </si>
  <si>
    <t>28460121</t>
  </si>
  <si>
    <t>28035758</t>
  </si>
  <si>
    <t>28035854</t>
  </si>
  <si>
    <t>28035902</t>
  </si>
  <si>
    <t>28035983</t>
  </si>
  <si>
    <t>28036340</t>
  </si>
  <si>
    <t>28036349</t>
  </si>
  <si>
    <t>28036419</t>
  </si>
  <si>
    <t>28036582</t>
  </si>
  <si>
    <t>28036832</t>
  </si>
  <si>
    <t>28036904</t>
  </si>
  <si>
    <t>28036939</t>
  </si>
  <si>
    <t>28037100</t>
  </si>
  <si>
    <t>28037191</t>
  </si>
  <si>
    <t>28037200</t>
  </si>
  <si>
    <t>28037228</t>
  </si>
  <si>
    <t>28037264</t>
  </si>
  <si>
    <t>28037271</t>
  </si>
  <si>
    <t>28037273</t>
  </si>
  <si>
    <t>28037295</t>
  </si>
  <si>
    <t>28037302</t>
  </si>
  <si>
    <t>28037310</t>
  </si>
  <si>
    <t>28037315</t>
  </si>
  <si>
    <t>28037330</t>
  </si>
  <si>
    <t>28037332</t>
  </si>
  <si>
    <t>28037338</t>
  </si>
  <si>
    <t>28037347</t>
  </si>
  <si>
    <t>28037349</t>
  </si>
  <si>
    <t>28037358</t>
  </si>
  <si>
    <t>28037362</t>
  </si>
  <si>
    <t>28037619</t>
  </si>
  <si>
    <t>28037621</t>
  </si>
  <si>
    <t>28037623</t>
  </si>
  <si>
    <t>28037634</t>
  </si>
  <si>
    <t>28037649</t>
  </si>
  <si>
    <t>28037655</t>
  </si>
  <si>
    <t>28037659</t>
  </si>
  <si>
    <t>28037850</t>
  </si>
  <si>
    <t>28037859</t>
  </si>
  <si>
    <t>28038248</t>
  </si>
  <si>
    <t>28038257</t>
  </si>
  <si>
    <t>28038478</t>
  </si>
  <si>
    <t>28038630</t>
  </si>
  <si>
    <t>28038639</t>
  </si>
  <si>
    <t>28038719</t>
  </si>
  <si>
    <t>28039043</t>
  </si>
  <si>
    <t>28039052</t>
  </si>
  <si>
    <t>28039088</t>
  </si>
  <si>
    <t>28039285</t>
  </si>
  <si>
    <t>28039597</t>
  </si>
  <si>
    <t>28039606</t>
  </si>
  <si>
    <t>28039741</t>
  </si>
  <si>
    <t>28039883</t>
  </si>
  <si>
    <t>28039885</t>
  </si>
  <si>
    <t>28039896</t>
  </si>
  <si>
    <t>28039898</t>
  </si>
  <si>
    <t>28040082</t>
  </si>
  <si>
    <t>28040084</t>
  </si>
  <si>
    <t>28040095</t>
  </si>
  <si>
    <t>28040097</t>
  </si>
  <si>
    <t>28040370</t>
  </si>
  <si>
    <t>28040484</t>
  </si>
  <si>
    <t>28040875</t>
  </si>
  <si>
    <t>28041132</t>
  </si>
  <si>
    <t>28041141</t>
  </si>
  <si>
    <t>28041226</t>
  </si>
  <si>
    <t>28041382</t>
  </si>
  <si>
    <t>28041468</t>
  </si>
  <si>
    <t>28041470</t>
  </si>
  <si>
    <t>28041476</t>
  </si>
  <si>
    <t>28041485</t>
  </si>
  <si>
    <t>28041507</t>
  </si>
  <si>
    <t>28041516</t>
  </si>
  <si>
    <t>28041518</t>
  </si>
  <si>
    <t>28041722</t>
  </si>
  <si>
    <t>28041731</t>
  </si>
  <si>
    <t>28041733</t>
  </si>
  <si>
    <t>28041803</t>
  </si>
  <si>
    <t>28041812</t>
  </si>
  <si>
    <t>28041814</t>
  </si>
  <si>
    <t>28041910</t>
  </si>
  <si>
    <t>28041912</t>
  </si>
  <si>
    <t>28041918</t>
  </si>
  <si>
    <t>28041927</t>
  </si>
  <si>
    <t>28042917</t>
  </si>
  <si>
    <t>28042926</t>
  </si>
  <si>
    <t>28578562</t>
  </si>
  <si>
    <t>28579303</t>
  </si>
  <si>
    <t>28579305</t>
  </si>
  <si>
    <t>28579491</t>
  </si>
  <si>
    <t>28579493</t>
  </si>
  <si>
    <t>28580010</t>
  </si>
  <si>
    <t>28580012</t>
  </si>
  <si>
    <t>28580360</t>
  </si>
  <si>
    <t>28580362</t>
  </si>
  <si>
    <t>28580720</t>
  </si>
  <si>
    <t>28580892</t>
  </si>
  <si>
    <t>28095177</t>
  </si>
  <si>
    <t>28565034</t>
  </si>
  <si>
    <t>28669055</t>
  </si>
  <si>
    <t>28323302</t>
  </si>
  <si>
    <t>28324692</t>
  </si>
  <si>
    <t>28320954</t>
  </si>
  <si>
    <t>28157591</t>
  </si>
  <si>
    <t>28157595</t>
  </si>
  <si>
    <t>28157599</t>
  </si>
  <si>
    <t>28157603</t>
  </si>
  <si>
    <t>28157607</t>
  </si>
  <si>
    <t>28157611</t>
  </si>
  <si>
    <t>28157615</t>
  </si>
  <si>
    <t>28157788</t>
  </si>
  <si>
    <t>28157820</t>
  </si>
  <si>
    <t>28157824</t>
  </si>
  <si>
    <t>28157844</t>
  </si>
  <si>
    <t>28157872</t>
  </si>
  <si>
    <t>28329457</t>
  </si>
  <si>
    <t>28334656</t>
  </si>
  <si>
    <t>28336619</t>
  </si>
  <si>
    <t>28033330</t>
  </si>
  <si>
    <t>28033339</t>
  </si>
  <si>
    <t>28033349</t>
  </si>
  <si>
    <t>28033503</t>
  </si>
  <si>
    <t>28381411</t>
  </si>
  <si>
    <t>28381906</t>
  </si>
  <si>
    <t>28382107</t>
  </si>
  <si>
    <t>28382340</t>
  </si>
  <si>
    <t>28382687</t>
  </si>
  <si>
    <t>28384389</t>
  </si>
  <si>
    <t>28385294</t>
  </si>
  <si>
    <t>28246429</t>
  </si>
  <si>
    <t>28135102</t>
  </si>
  <si>
    <t>28135113</t>
  </si>
  <si>
    <t>28135223</t>
  </si>
  <si>
    <t>28121308</t>
  </si>
  <si>
    <t>28121310</t>
  </si>
  <si>
    <t>28121566</t>
  </si>
  <si>
    <t>28121607</t>
  </si>
  <si>
    <t>28121609</t>
  </si>
  <si>
    <t>28121667</t>
  </si>
  <si>
    <t>28121729</t>
  </si>
  <si>
    <t>28121731</t>
  </si>
  <si>
    <t>28090120</t>
  </si>
  <si>
    <t>28090227</t>
  </si>
  <si>
    <t>28393649</t>
  </si>
  <si>
    <t>28393848</t>
  </si>
  <si>
    <t>28394743</t>
  </si>
  <si>
    <t>28394752</t>
  </si>
  <si>
    <t>28394770</t>
  </si>
  <si>
    <t>28393307</t>
  </si>
  <si>
    <t>28393387</t>
  </si>
  <si>
    <t>28393452</t>
  </si>
  <si>
    <t>28393558</t>
  </si>
  <si>
    <t>28393592</t>
  </si>
  <si>
    <t>28589962</t>
  </si>
  <si>
    <t>28589969</t>
  </si>
  <si>
    <t>28590122</t>
  </si>
  <si>
    <t>28715502</t>
  </si>
  <si>
    <t>28715514</t>
  </si>
  <si>
    <t>28715555</t>
  </si>
  <si>
    <t>28715588</t>
  </si>
  <si>
    <t>28715686</t>
  </si>
  <si>
    <t>28715698</t>
  </si>
  <si>
    <t>28715763</t>
  </si>
  <si>
    <t>28715775</t>
  </si>
  <si>
    <t>28715930</t>
  </si>
  <si>
    <t>28715942</t>
  </si>
  <si>
    <t>28716236</t>
  </si>
  <si>
    <t>28716249</t>
  </si>
  <si>
    <t>28119364</t>
  </si>
  <si>
    <t>28120167</t>
  </si>
  <si>
    <t>28120249</t>
  </si>
  <si>
    <t>28120345</t>
  </si>
  <si>
    <t>28298073</t>
  </si>
  <si>
    <t>28156274</t>
  </si>
  <si>
    <t>28714148</t>
  </si>
  <si>
    <t>28714160</t>
  </si>
  <si>
    <t>28714729</t>
  </si>
  <si>
    <t>28714886</t>
  </si>
  <si>
    <t>28715128</t>
  </si>
  <si>
    <t>28715232</t>
  </si>
  <si>
    <t>28064766</t>
  </si>
  <si>
    <t>28568267</t>
  </si>
  <si>
    <t>28564609</t>
  </si>
  <si>
    <t>28564628</t>
  </si>
  <si>
    <t>28373199</t>
  </si>
  <si>
    <t>28374069</t>
  </si>
  <si>
    <t>28375142</t>
  </si>
  <si>
    <t>28387108</t>
  </si>
  <si>
    <t>28390317</t>
  </si>
  <si>
    <t>28390321</t>
  </si>
  <si>
    <t>28390634</t>
  </si>
  <si>
    <t>28392481</t>
  </si>
  <si>
    <t>28523383</t>
  </si>
  <si>
    <t>28526644</t>
  </si>
  <si>
    <t>28078906</t>
  </si>
  <si>
    <t>28376650</t>
  </si>
  <si>
    <t>28313578</t>
  </si>
  <si>
    <t>28314079</t>
  </si>
  <si>
    <t>28314123</t>
  </si>
  <si>
    <t>28483888</t>
  </si>
  <si>
    <t>28483904</t>
  </si>
  <si>
    <t>28483915</t>
  </si>
  <si>
    <t>28483920</t>
  </si>
  <si>
    <t>28499829</t>
  </si>
  <si>
    <t>28499831</t>
  </si>
  <si>
    <t>28500098</t>
  </si>
  <si>
    <t>28500106</t>
  </si>
  <si>
    <t>28172867</t>
  </si>
  <si>
    <t>28172885</t>
  </si>
  <si>
    <t>28172949</t>
  </si>
  <si>
    <t>28062731</t>
  </si>
  <si>
    <t>28062940</t>
  </si>
  <si>
    <t>28063074</t>
  </si>
  <si>
    <t>28063226</t>
  </si>
  <si>
    <t>28063445</t>
  </si>
  <si>
    <t>28063583</t>
  </si>
  <si>
    <t>28063717</t>
  </si>
  <si>
    <t>28063768</t>
  </si>
  <si>
    <t>28064114</t>
  </si>
  <si>
    <t>28064148</t>
  </si>
  <si>
    <t>28064303</t>
  </si>
  <si>
    <t>28064424</t>
  </si>
  <si>
    <t>28064426</t>
  </si>
  <si>
    <t>28064437</t>
  </si>
  <si>
    <t>28064507</t>
  </si>
  <si>
    <t>28064509</t>
  </si>
  <si>
    <t>28064520</t>
  </si>
  <si>
    <t>28131071</t>
  </si>
  <si>
    <t>28288060</t>
  </si>
  <si>
    <t>28199878</t>
  </si>
  <si>
    <t>28200548</t>
  </si>
  <si>
    <t>28200564</t>
  </si>
  <si>
    <t>28200579</t>
  </si>
  <si>
    <t>28202811</t>
  </si>
  <si>
    <t>28202841</t>
  </si>
  <si>
    <t>28203220</t>
  </si>
  <si>
    <t>28204296</t>
  </si>
  <si>
    <t>28204354</t>
  </si>
  <si>
    <t>28204400</t>
  </si>
  <si>
    <t>28204553</t>
  </si>
  <si>
    <t>28204626</t>
  </si>
  <si>
    <t>28204657</t>
  </si>
  <si>
    <t>28207351</t>
  </si>
  <si>
    <t>28207398</t>
  </si>
  <si>
    <t>28208197</t>
  </si>
  <si>
    <t>28462681</t>
  </si>
  <si>
    <t>28462727</t>
  </si>
  <si>
    <t>28130361</t>
  </si>
  <si>
    <t>28562862</t>
  </si>
  <si>
    <t>28121785</t>
  </si>
  <si>
    <t>28092529</t>
  </si>
  <si>
    <t>28157619</t>
  </si>
  <si>
    <t>28157792</t>
  </si>
  <si>
    <t>28157796</t>
  </si>
  <si>
    <t>28157800</t>
  </si>
  <si>
    <t>28157812</t>
  </si>
  <si>
    <t>28157816</t>
  </si>
  <si>
    <t>28157864</t>
  </si>
  <si>
    <t>28121260</t>
  </si>
  <si>
    <t>28121375</t>
  </si>
  <si>
    <t>28121385</t>
  </si>
  <si>
    <t>28121503</t>
  </si>
  <si>
    <t>28121552</t>
  </si>
  <si>
    <t>28121756</t>
  </si>
  <si>
    <t>28402121</t>
  </si>
  <si>
    <t>28155641</t>
  </si>
  <si>
    <t>28375064</t>
  </si>
  <si>
    <t>28047056</t>
  </si>
  <si>
    <t>28047060</t>
  </si>
  <si>
    <t>28047824</t>
  </si>
  <si>
    <t>28047828</t>
  </si>
  <si>
    <t>28081141</t>
  </si>
  <si>
    <t>28081160</t>
  </si>
  <si>
    <t>28081210</t>
  </si>
  <si>
    <t>28081371</t>
  </si>
  <si>
    <t>28081458</t>
  </si>
  <si>
    <t>28081460</t>
  </si>
  <si>
    <t>28081464</t>
  </si>
  <si>
    <t>28081469</t>
  </si>
  <si>
    <t>28081492</t>
  </si>
  <si>
    <t>28081496</t>
  </si>
  <si>
    <t>28081501</t>
  </si>
  <si>
    <t>28114932</t>
  </si>
  <si>
    <t>28114935</t>
  </si>
  <si>
    <t>28115221</t>
  </si>
  <si>
    <t>28115223</t>
  </si>
  <si>
    <t>28115228</t>
  </si>
  <si>
    <t>28115271</t>
  </si>
  <si>
    <t>28157578</t>
  </si>
  <si>
    <t>28157848</t>
  </si>
  <si>
    <t>28076398</t>
  </si>
  <si>
    <t>28076468</t>
  </si>
  <si>
    <t>28139270</t>
  </si>
  <si>
    <t>28139272</t>
  </si>
  <si>
    <t>28139277</t>
  </si>
  <si>
    <t>28139285</t>
  </si>
  <si>
    <t>28139287</t>
  </si>
  <si>
    <t>28139292</t>
  </si>
  <si>
    <t>28139302</t>
  </si>
  <si>
    <t>28139423</t>
  </si>
  <si>
    <t>28310876</t>
  </si>
  <si>
    <t>28073539</t>
  </si>
  <si>
    <t>28073573</t>
  </si>
  <si>
    <t>28073937</t>
  </si>
  <si>
    <t>28074378</t>
  </si>
  <si>
    <t>28074388</t>
  </si>
  <si>
    <t>28074463</t>
  </si>
  <si>
    <t>28074612</t>
  </si>
  <si>
    <t>28312710</t>
  </si>
  <si>
    <t>28312729</t>
  </si>
  <si>
    <t>28072764</t>
  </si>
  <si>
    <t>28072783</t>
  </si>
  <si>
    <t>28072793</t>
  </si>
  <si>
    <t>28072853</t>
  </si>
  <si>
    <t>28072917</t>
  </si>
  <si>
    <t>28072927</t>
  </si>
  <si>
    <t>28072935</t>
  </si>
  <si>
    <t>28073025</t>
  </si>
  <si>
    <t>28073045</t>
  </si>
  <si>
    <t>28073182</t>
  </si>
  <si>
    <t>28080567</t>
  </si>
  <si>
    <t>28144322</t>
  </si>
  <si>
    <t>28046915</t>
  </si>
  <si>
    <t>28046920</t>
  </si>
  <si>
    <t>28046923</t>
  </si>
  <si>
    <t>28046926</t>
  </si>
  <si>
    <t>28046928</t>
  </si>
  <si>
    <t>28046932</t>
  </si>
  <si>
    <t>28046935</t>
  </si>
  <si>
    <t>28046941</t>
  </si>
  <si>
    <t>28046943</t>
  </si>
  <si>
    <t>28046946</t>
  </si>
  <si>
    <t>28046950</t>
  </si>
  <si>
    <t>28046954</t>
  </si>
  <si>
    <t>28046957</t>
  </si>
  <si>
    <t>28046961</t>
  </si>
  <si>
    <t>28046964</t>
  </si>
  <si>
    <t>28046967</t>
  </si>
  <si>
    <t>28046970</t>
  </si>
  <si>
    <t>28046974</t>
  </si>
  <si>
    <t>28046979</t>
  </si>
  <si>
    <t>28046981</t>
  </si>
  <si>
    <t>28046983</t>
  </si>
  <si>
    <t>28046999</t>
  </si>
  <si>
    <t>28047003</t>
  </si>
  <si>
    <t>28047007</t>
  </si>
  <si>
    <t>28047011</t>
  </si>
  <si>
    <t>28047015</t>
  </si>
  <si>
    <t>28047019</t>
  </si>
  <si>
    <t>28047021</t>
  </si>
  <si>
    <t>28047023</t>
  </si>
  <si>
    <t>28047027</t>
  </si>
  <si>
    <t>28047041</t>
  </si>
  <si>
    <t>28047046</t>
  </si>
  <si>
    <t>28047048</t>
  </si>
  <si>
    <t>28047050</t>
  </si>
  <si>
    <t>28047087</t>
  </si>
  <si>
    <t>28047101</t>
  </si>
  <si>
    <t>28047105</t>
  </si>
  <si>
    <t>28047683</t>
  </si>
  <si>
    <t>28047688</t>
  </si>
  <si>
    <t>28047691</t>
  </si>
  <si>
    <t>28047694</t>
  </si>
  <si>
    <t>28047696</t>
  </si>
  <si>
    <t>28047700</t>
  </si>
  <si>
    <t>28047703</t>
  </si>
  <si>
    <t>28047709</t>
  </si>
  <si>
    <t>28047711</t>
  </si>
  <si>
    <t>28047714</t>
  </si>
  <si>
    <t>28047718</t>
  </si>
  <si>
    <t>28047722</t>
  </si>
  <si>
    <t>28047725</t>
  </si>
  <si>
    <t>28047729</t>
  </si>
  <si>
    <t>28047732</t>
  </si>
  <si>
    <t>28047735</t>
  </si>
  <si>
    <t>28047738</t>
  </si>
  <si>
    <t>28047742</t>
  </si>
  <si>
    <t>28047747</t>
  </si>
  <si>
    <t>28047749</t>
  </si>
  <si>
    <t>28047751</t>
  </si>
  <si>
    <t>28047767</t>
  </si>
  <si>
    <t>28047771</t>
  </si>
  <si>
    <t>28047775</t>
  </si>
  <si>
    <t>28047779</t>
  </si>
  <si>
    <t>28047783</t>
  </si>
  <si>
    <t>28047787</t>
  </si>
  <si>
    <t>28047789</t>
  </si>
  <si>
    <t>28047791</t>
  </si>
  <si>
    <t>28047795</t>
  </si>
  <si>
    <t>28047809</t>
  </si>
  <si>
    <t>28047814</t>
  </si>
  <si>
    <t>28047816</t>
  </si>
  <si>
    <t>28047818</t>
  </si>
  <si>
    <t>28047853</t>
  </si>
  <si>
    <t>28047867</t>
  </si>
  <si>
    <t>28047871</t>
  </si>
  <si>
    <t>28376809</t>
  </si>
  <si>
    <t>28376812</t>
  </si>
  <si>
    <t>28377962</t>
  </si>
  <si>
    <t>28377965</t>
  </si>
  <si>
    <t>28128938</t>
  </si>
  <si>
    <t>28086569</t>
  </si>
  <si>
    <t>28183571</t>
  </si>
  <si>
    <t>28183743</t>
  </si>
  <si>
    <t>28183751</t>
  </si>
  <si>
    <t>28183770</t>
  </si>
  <si>
    <t>28183772</t>
  </si>
  <si>
    <t>28183774</t>
  </si>
  <si>
    <t>28183776</t>
  </si>
  <si>
    <t>28183800</t>
  </si>
  <si>
    <t>28183808</t>
  </si>
  <si>
    <t>28183828</t>
  </si>
  <si>
    <t>28183840</t>
  </si>
  <si>
    <t>28183962</t>
  </si>
  <si>
    <t>28190945</t>
  </si>
  <si>
    <t>28191428</t>
  </si>
  <si>
    <t>28191454</t>
  </si>
  <si>
    <t>28192207</t>
  </si>
  <si>
    <t>28192920</t>
  </si>
  <si>
    <t>28192931</t>
  </si>
  <si>
    <t>28193206</t>
  </si>
  <si>
    <t>28193235</t>
  </si>
  <si>
    <t>28193244</t>
  </si>
  <si>
    <t>28193247</t>
  </si>
  <si>
    <t>28193362</t>
  </si>
  <si>
    <t>28193718</t>
  </si>
  <si>
    <t>28193731</t>
  </si>
  <si>
    <t>28193838</t>
  </si>
  <si>
    <t>28193841</t>
  </si>
  <si>
    <t>28195388</t>
  </si>
  <si>
    <t>28195538</t>
  </si>
  <si>
    <t>28195540</t>
  </si>
  <si>
    <t>28195558</t>
  </si>
  <si>
    <t>28196652</t>
  </si>
  <si>
    <t>28196655</t>
  </si>
  <si>
    <t>28196658</t>
  </si>
  <si>
    <t>28196661</t>
  </si>
  <si>
    <t>28196737</t>
  </si>
  <si>
    <t>28091395</t>
  </si>
  <si>
    <t>28091450</t>
  </si>
  <si>
    <t>28224791</t>
  </si>
  <si>
    <t>28224799</t>
  </si>
  <si>
    <t>28217828</t>
  </si>
  <si>
    <t>28101442</t>
  </si>
  <si>
    <t>28032395</t>
  </si>
  <si>
    <t>28338059</t>
  </si>
  <si>
    <t>28081466</t>
  </si>
  <si>
    <t>28081498</t>
  </si>
  <si>
    <t>28081921</t>
  </si>
  <si>
    <t>28082248</t>
  </si>
  <si>
    <t>28219397</t>
  </si>
  <si>
    <t>28219497</t>
  </si>
  <si>
    <t>28219578</t>
  </si>
  <si>
    <t>28219821</t>
  </si>
  <si>
    <t>28220171</t>
  </si>
  <si>
    <t>28220798</t>
  </si>
  <si>
    <t>28220800</t>
  </si>
  <si>
    <t>28220802</t>
  </si>
  <si>
    <t>28220806</t>
  </si>
  <si>
    <t>28221811</t>
  </si>
  <si>
    <t>28221813</t>
  </si>
  <si>
    <t>28221815</t>
  </si>
  <si>
    <t>28221817</t>
  </si>
  <si>
    <t>28222326</t>
  </si>
  <si>
    <t>28222542</t>
  </si>
  <si>
    <t>28222544</t>
  </si>
  <si>
    <t>28222549</t>
  </si>
  <si>
    <t>28222551</t>
  </si>
  <si>
    <t>28222557</t>
  </si>
  <si>
    <t>28222561</t>
  </si>
  <si>
    <t>28222855</t>
  </si>
  <si>
    <t>28222873</t>
  </si>
  <si>
    <t>28668859</t>
  </si>
  <si>
    <t>28668893</t>
  </si>
  <si>
    <t>28668990</t>
  </si>
  <si>
    <t>28669156</t>
  </si>
  <si>
    <t>28320869</t>
  </si>
  <si>
    <t>28320938</t>
  </si>
  <si>
    <t>28115234</t>
  </si>
  <si>
    <t>28139274</t>
  </si>
  <si>
    <t>28139289</t>
  </si>
  <si>
    <t>28139296</t>
  </si>
  <si>
    <t>28331790</t>
  </si>
  <si>
    <t>28033036</t>
  </si>
  <si>
    <t>28309217</t>
  </si>
  <si>
    <t>28309716</t>
  </si>
  <si>
    <t>28309852</t>
  </si>
  <si>
    <t>28310177</t>
  </si>
  <si>
    <t>28310501</t>
  </si>
  <si>
    <t>28310509</t>
  </si>
  <si>
    <t>28310735</t>
  </si>
  <si>
    <t>28311104</t>
  </si>
  <si>
    <t>28311377</t>
  </si>
  <si>
    <t>28311636</t>
  </si>
  <si>
    <t>28311694</t>
  </si>
  <si>
    <t>28380800</t>
  </si>
  <si>
    <t>28384391</t>
  </si>
  <si>
    <t>28246231</t>
  </si>
  <si>
    <t>28249363</t>
  </si>
  <si>
    <t>28251874</t>
  </si>
  <si>
    <t>28448127</t>
  </si>
  <si>
    <t>28448193</t>
  </si>
  <si>
    <t>28393752</t>
  </si>
  <si>
    <t>28393955</t>
  </si>
  <si>
    <t>28393323</t>
  </si>
  <si>
    <t>28393339</t>
  </si>
  <si>
    <t>28393355</t>
  </si>
  <si>
    <t>28395552</t>
  </si>
  <si>
    <t>28395848</t>
  </si>
  <si>
    <t>28401982</t>
  </si>
  <si>
    <t>28402050</t>
  </si>
  <si>
    <t>28402709</t>
  </si>
  <si>
    <t>28070921</t>
  </si>
  <si>
    <t>28070934</t>
  </si>
  <si>
    <t>28071373</t>
  </si>
  <si>
    <t>28071383</t>
  </si>
  <si>
    <t>28071471</t>
  </si>
  <si>
    <t>28566705</t>
  </si>
  <si>
    <t>28375562</t>
  </si>
  <si>
    <t>28388662</t>
  </si>
  <si>
    <t>28390323</t>
  </si>
  <si>
    <t>28522113</t>
  </si>
  <si>
    <t>28522156</t>
  </si>
  <si>
    <t>28522221</t>
  </si>
  <si>
    <t>28522239</t>
  </si>
  <si>
    <t>28522469</t>
  </si>
  <si>
    <t>28522691</t>
  </si>
  <si>
    <t>28522744</t>
  </si>
  <si>
    <t>28522864</t>
  </si>
  <si>
    <t>28046910</t>
  </si>
  <si>
    <t>28046987</t>
  </si>
  <si>
    <t>28046992</t>
  </si>
  <si>
    <t>28046995</t>
  </si>
  <si>
    <t>28047035</t>
  </si>
  <si>
    <t>28047039</t>
  </si>
  <si>
    <t>28047044</t>
  </si>
  <si>
    <t>28047054</t>
  </si>
  <si>
    <t>28047058</t>
  </si>
  <si>
    <t>28047062</t>
  </si>
  <si>
    <t>28047064</t>
  </si>
  <si>
    <t>28047096</t>
  </si>
  <si>
    <t>28047678</t>
  </si>
  <si>
    <t>28047755</t>
  </si>
  <si>
    <t>28047760</t>
  </si>
  <si>
    <t>28047763</t>
  </si>
  <si>
    <t>28047803</t>
  </si>
  <si>
    <t>28047807</t>
  </si>
  <si>
    <t>28047812</t>
  </si>
  <si>
    <t>28047822</t>
  </si>
  <si>
    <t>28047826</t>
  </si>
  <si>
    <t>28047830</t>
  </si>
  <si>
    <t>28047839</t>
  </si>
  <si>
    <t>28047862</t>
  </si>
  <si>
    <t>28313795</t>
  </si>
  <si>
    <t>28313845</t>
  </si>
  <si>
    <t>28499799</t>
  </si>
  <si>
    <t>28499807</t>
  </si>
  <si>
    <t>28500068</t>
  </si>
  <si>
    <t>28500070</t>
  </si>
  <si>
    <t>28172813</t>
  </si>
  <si>
    <t>28172817</t>
  </si>
  <si>
    <t>28172842</t>
  </si>
  <si>
    <t>28172857</t>
  </si>
  <si>
    <t>28172859</t>
  </si>
  <si>
    <t>28172865</t>
  </si>
  <si>
    <t>28172890</t>
  </si>
  <si>
    <t>28172896</t>
  </si>
  <si>
    <t>28172901</t>
  </si>
  <si>
    <t>28172907</t>
  </si>
  <si>
    <t>28172911</t>
  </si>
  <si>
    <t>28172937</t>
  </si>
  <si>
    <t>28172961</t>
  </si>
  <si>
    <t>28172969</t>
  </si>
  <si>
    <t>28172977</t>
  </si>
  <si>
    <t>28172985</t>
  </si>
  <si>
    <t>28061722</t>
  </si>
  <si>
    <t>28201444</t>
  </si>
  <si>
    <t>28202518</t>
  </si>
  <si>
    <t>28202855</t>
  </si>
  <si>
    <t>28176708</t>
  </si>
  <si>
    <t>28177335</t>
  </si>
  <si>
    <t>28177343</t>
  </si>
  <si>
    <t>28179532</t>
  </si>
  <si>
    <t>28179762</t>
  </si>
  <si>
    <t>28180733</t>
  </si>
  <si>
    <t>28321561</t>
  </si>
  <si>
    <t>28589364</t>
  </si>
  <si>
    <t>27956046</t>
  </si>
  <si>
    <t>27956047</t>
  </si>
  <si>
    <t>27956050</t>
  </si>
  <si>
    <t>27956151</t>
  </si>
  <si>
    <t>27956152</t>
  </si>
  <si>
    <t>27956211</t>
  </si>
  <si>
    <t>27956214</t>
  </si>
  <si>
    <t>27956236</t>
  </si>
  <si>
    <t>27956240</t>
  </si>
  <si>
    <t>27942349</t>
  </si>
  <si>
    <t>28153531</t>
  </si>
  <si>
    <t>28153657</t>
  </si>
  <si>
    <t>28153746</t>
  </si>
  <si>
    <t>28153912</t>
  </si>
  <si>
    <t>28154092</t>
  </si>
  <si>
    <t>28154234</t>
  </si>
  <si>
    <t>28154426</t>
  </si>
  <si>
    <t>28154523</t>
  </si>
  <si>
    <t>28085593</t>
  </si>
  <si>
    <t>28085827</t>
  </si>
  <si>
    <t>28526646</t>
  </si>
  <si>
    <t>28047091</t>
  </si>
  <si>
    <t>28047093</t>
  </si>
  <si>
    <t>28047857</t>
  </si>
  <si>
    <t>28047859</t>
  </si>
  <si>
    <t>27956045</t>
  </si>
  <si>
    <t>27956150</t>
  </si>
  <si>
    <t>27956177</t>
  </si>
  <si>
    <t>27956206</t>
  </si>
  <si>
    <t>27956235</t>
  </si>
  <si>
    <t>27942341</t>
  </si>
  <si>
    <t>28087385</t>
  </si>
  <si>
    <t>28087437</t>
  </si>
  <si>
    <t>28081168</t>
  </si>
  <si>
    <t>28294227</t>
  </si>
  <si>
    <t>28114952</t>
  </si>
  <si>
    <t>28115236</t>
  </si>
  <si>
    <t>28115287</t>
  </si>
  <si>
    <t>28139283</t>
  </si>
  <si>
    <t>28139298</t>
  </si>
  <si>
    <t>28139304</t>
  </si>
  <si>
    <t>28073581</t>
  </si>
  <si>
    <t>28073982</t>
  </si>
  <si>
    <t>28074465</t>
  </si>
  <si>
    <t>28074649</t>
  </si>
  <si>
    <t>28074706</t>
  </si>
  <si>
    <t>28590308</t>
  </si>
  <si>
    <t>28072759</t>
  </si>
  <si>
    <t>28072791</t>
  </si>
  <si>
    <t>28072802</t>
  </si>
  <si>
    <t>28073028</t>
  </si>
  <si>
    <t>28073048</t>
  </si>
  <si>
    <t>28073190</t>
  </si>
  <si>
    <t>28073246</t>
  </si>
  <si>
    <t>28376731</t>
  </si>
  <si>
    <t>28589971</t>
  </si>
  <si>
    <t>28153109</t>
  </si>
  <si>
    <t>28153147</t>
  </si>
  <si>
    <t>28153206</t>
  </si>
  <si>
    <t>28153372</t>
  </si>
  <si>
    <t>28477261</t>
  </si>
  <si>
    <t>28593429</t>
  </si>
  <si>
    <t>28393712</t>
  </si>
  <si>
    <t>28393508</t>
  </si>
  <si>
    <t>28393569</t>
  </si>
  <si>
    <t>28393600</t>
  </si>
  <si>
    <t>28156637</t>
  </si>
  <si>
    <t>28483661</t>
  </si>
  <si>
    <t>28483989</t>
  </si>
  <si>
    <t>28499923</t>
  </si>
  <si>
    <t>28288904</t>
  </si>
  <si>
    <t>28462689</t>
  </si>
  <si>
    <t>28590306</t>
  </si>
  <si>
    <t>28072781</t>
  </si>
  <si>
    <t>28072861</t>
  </si>
  <si>
    <t>28072949</t>
  </si>
  <si>
    <t>28088427</t>
  </si>
  <si>
    <t>28088871</t>
  </si>
  <si>
    <t>28088879</t>
  </si>
  <si>
    <t>28088927</t>
  </si>
  <si>
    <t>28089812</t>
  </si>
  <si>
    <t>28089837</t>
  </si>
  <si>
    <t>28395430</t>
  </si>
  <si>
    <t>28395490</t>
  </si>
  <si>
    <t>28395494</t>
  </si>
  <si>
    <t>28135981</t>
  </si>
  <si>
    <t>28135996</t>
  </si>
  <si>
    <t>28066391</t>
  </si>
  <si>
    <t>28067210</t>
  </si>
  <si>
    <t>28067235</t>
  </si>
  <si>
    <t>28067265</t>
  </si>
  <si>
    <t>28067645</t>
  </si>
  <si>
    <t>28068919</t>
  </si>
  <si>
    <t>28068945</t>
  </si>
  <si>
    <t>28069248</t>
  </si>
  <si>
    <t>28069579</t>
  </si>
  <si>
    <t>28069652</t>
  </si>
  <si>
    <t>28069782</t>
  </si>
  <si>
    <t>28186444</t>
  </si>
  <si>
    <t>28186446</t>
  </si>
  <si>
    <t>28186524</t>
  </si>
  <si>
    <t>28186528</t>
  </si>
  <si>
    <t>28092368</t>
  </si>
  <si>
    <t>28092372</t>
  </si>
  <si>
    <t>28092444</t>
  </si>
  <si>
    <t>28092446</t>
  </si>
  <si>
    <t>28590712</t>
  </si>
  <si>
    <t>28590716</t>
  </si>
  <si>
    <t>28591234</t>
  </si>
  <si>
    <t>28591238</t>
  </si>
  <si>
    <t>28591330</t>
  </si>
  <si>
    <t>28591334</t>
  </si>
  <si>
    <t>28591384</t>
  </si>
  <si>
    <t>28591389</t>
  </si>
  <si>
    <t>28591924</t>
  </si>
  <si>
    <t>28591928</t>
  </si>
  <si>
    <t>28591952</t>
  </si>
  <si>
    <t>28591956</t>
  </si>
  <si>
    <t>28592014</t>
  </si>
  <si>
    <t>28592018</t>
  </si>
  <si>
    <t>28592075</t>
  </si>
  <si>
    <t>28592080</t>
  </si>
  <si>
    <t>28592149</t>
  </si>
  <si>
    <t>28592153</t>
  </si>
  <si>
    <t>28592202</t>
  </si>
  <si>
    <t>28592206</t>
  </si>
  <si>
    <t>28592265</t>
  </si>
  <si>
    <t>28592269</t>
  </si>
  <si>
    <t>28592613</t>
  </si>
  <si>
    <t>28592667</t>
  </si>
  <si>
    <t>28592849</t>
  </si>
  <si>
    <t>28593119</t>
  </si>
  <si>
    <t>28594968</t>
  </si>
  <si>
    <t>28595085</t>
  </si>
  <si>
    <t>28595212</t>
  </si>
  <si>
    <t>28595276</t>
  </si>
  <si>
    <t>28228144</t>
  </si>
  <si>
    <t>28228146</t>
  </si>
  <si>
    <t>28481184</t>
  </si>
  <si>
    <t>28481236</t>
  </si>
  <si>
    <t>28481613</t>
  </si>
  <si>
    <t>28034460</t>
  </si>
  <si>
    <t>28034741</t>
  </si>
  <si>
    <t>28034861</t>
  </si>
  <si>
    <t>28035006</t>
  </si>
  <si>
    <t>28035069</t>
  </si>
  <si>
    <t>28035171</t>
  </si>
  <si>
    <t>28035336</t>
  </si>
  <si>
    <t>28035426</t>
  </si>
  <si>
    <t>28459863</t>
  </si>
  <si>
    <t>28035912</t>
  </si>
  <si>
    <t>28036908</t>
  </si>
  <si>
    <t>28037245</t>
  </si>
  <si>
    <t>28037364</t>
  </si>
  <si>
    <t>28037625</t>
  </si>
  <si>
    <t>28038263</t>
  </si>
  <si>
    <t>28038645</t>
  </si>
  <si>
    <t>28039612</t>
  </si>
  <si>
    <t>28039887</t>
  </si>
  <si>
    <t>28040086</t>
  </si>
  <si>
    <t>28041147</t>
  </si>
  <si>
    <t>28041472</t>
  </si>
  <si>
    <t>28041850</t>
  </si>
  <si>
    <t>28041871</t>
  </si>
  <si>
    <t>28041914</t>
  </si>
  <si>
    <t>28565069</t>
  </si>
  <si>
    <t>28669122</t>
  </si>
  <si>
    <t>28669126</t>
  </si>
  <si>
    <t>28325717</t>
  </si>
  <si>
    <t>28321143</t>
  </si>
  <si>
    <t>28117529</t>
  </si>
  <si>
    <t>28033357</t>
  </si>
  <si>
    <t>28381421</t>
  </si>
  <si>
    <t>28381924</t>
  </si>
  <si>
    <t>28382122</t>
  </si>
  <si>
    <t>28382360</t>
  </si>
  <si>
    <t>28382704</t>
  </si>
  <si>
    <t>28135300</t>
  </si>
  <si>
    <t>28121287</t>
  </si>
  <si>
    <t>28121344</t>
  </si>
  <si>
    <t>28121637</t>
  </si>
  <si>
    <t>28121697</t>
  </si>
  <si>
    <t>28121759</t>
  </si>
  <si>
    <t>28090126</t>
  </si>
  <si>
    <t>28090235</t>
  </si>
  <si>
    <t>28393856</t>
  </si>
  <si>
    <t>28394778</t>
  </si>
  <si>
    <t>28394799</t>
  </si>
  <si>
    <t>28393511</t>
  </si>
  <si>
    <t>28589960</t>
  </si>
  <si>
    <t>28401844</t>
  </si>
  <si>
    <t>28402600</t>
  </si>
  <si>
    <t>28715639</t>
  </si>
  <si>
    <t>28568289</t>
  </si>
  <si>
    <t>28564661</t>
  </si>
  <si>
    <t>28387525</t>
  </si>
  <si>
    <t>28387529</t>
  </si>
  <si>
    <t>28390254</t>
  </si>
  <si>
    <t>28523638</t>
  </si>
  <si>
    <t>28211930</t>
  </si>
  <si>
    <t>28315402</t>
  </si>
  <si>
    <t>28483538</t>
  </si>
  <si>
    <t>28483663</t>
  </si>
  <si>
    <t>28483900</t>
  </si>
  <si>
    <t>28483991</t>
  </si>
  <si>
    <t>28500314</t>
  </si>
  <si>
    <t>28500318</t>
  </si>
  <si>
    <t>28062942</t>
  </si>
  <si>
    <t>28063479</t>
  </si>
  <si>
    <t>28064428</t>
  </si>
  <si>
    <t>28064511</t>
  </si>
  <si>
    <t>28365306</t>
  </si>
  <si>
    <t>28711141</t>
  </si>
  <si>
    <t>28191436</t>
  </si>
  <si>
    <t>28192209</t>
  </si>
  <si>
    <t>28192221</t>
  </si>
  <si>
    <t>28192851</t>
  </si>
  <si>
    <t>28193208</t>
  </si>
  <si>
    <t>28193286</t>
  </si>
  <si>
    <t>28193765</t>
  </si>
  <si>
    <t>28224756</t>
  </si>
  <si>
    <t>28224818</t>
  </si>
  <si>
    <t>28224820</t>
  </si>
  <si>
    <t>28151620</t>
  </si>
  <si>
    <t>28482468</t>
  </si>
  <si>
    <t>28338075</t>
  </si>
  <si>
    <t>28219399</t>
  </si>
  <si>
    <t>28219401</t>
  </si>
  <si>
    <t>28220181</t>
  </si>
  <si>
    <t>28669036</t>
  </si>
  <si>
    <t>28669191</t>
  </si>
  <si>
    <t>28669262</t>
  </si>
  <si>
    <t>28321200</t>
  </si>
  <si>
    <t>28321341</t>
  </si>
  <si>
    <t>28332105</t>
  </si>
  <si>
    <t>28309472</t>
  </si>
  <si>
    <t>28309743</t>
  </si>
  <si>
    <t>28310773</t>
  </si>
  <si>
    <t>28311544</t>
  </si>
  <si>
    <t>28381445</t>
  </si>
  <si>
    <t>28609862</t>
  </si>
  <si>
    <t>28590498</t>
  </si>
  <si>
    <t>28395518</t>
  </si>
  <si>
    <t>28070932</t>
  </si>
  <si>
    <t>28070983</t>
  </si>
  <si>
    <t>28071381</t>
  </si>
  <si>
    <t>28071437</t>
  </si>
  <si>
    <t>28272017</t>
  </si>
  <si>
    <t>28566332</t>
  </si>
  <si>
    <t>28568354</t>
  </si>
  <si>
    <t>28568498</t>
  </si>
  <si>
    <t>28046908</t>
  </si>
  <si>
    <t>28046948</t>
  </si>
  <si>
    <t>28047676</t>
  </si>
  <si>
    <t>28047716</t>
  </si>
  <si>
    <t>28499976</t>
  </si>
  <si>
    <t>28589318</t>
  </si>
  <si>
    <t>28365085</t>
  </si>
  <si>
    <t>28367078</t>
  </si>
  <si>
    <t>28367081</t>
  </si>
  <si>
    <t>28367355</t>
  </si>
  <si>
    <t>28712740</t>
  </si>
  <si>
    <t>28712750</t>
  </si>
  <si>
    <t>28713113</t>
  </si>
  <si>
    <t>28713153</t>
  </si>
  <si>
    <t>28713643</t>
  </si>
  <si>
    <t>28713654</t>
  </si>
  <si>
    <t>28715510</t>
  </si>
  <si>
    <t>28715520</t>
  </si>
  <si>
    <t>28715563</t>
  </si>
  <si>
    <t>28715641</t>
  </si>
  <si>
    <t>28715694</t>
  </si>
  <si>
    <t>28715704</t>
  </si>
  <si>
    <t>28715771</t>
  </si>
  <si>
    <t>28715781</t>
  </si>
  <si>
    <t>28715938</t>
  </si>
  <si>
    <t>28715991</t>
  </si>
  <si>
    <t>28716244</t>
  </si>
  <si>
    <t>28716298</t>
  </si>
  <si>
    <t>28714156</t>
  </si>
  <si>
    <t>28714256</t>
  </si>
  <si>
    <t>28715110</t>
  </si>
  <si>
    <t>28715177</t>
  </si>
  <si>
    <t>28564624</t>
  </si>
  <si>
    <t>28564658</t>
  </si>
  <si>
    <t>28591722</t>
  </si>
  <si>
    <t>28592617</t>
  </si>
  <si>
    <t>28592671</t>
  </si>
  <si>
    <t>28592854</t>
  </si>
  <si>
    <t>28593123</t>
  </si>
  <si>
    <t>28593433</t>
  </si>
  <si>
    <t>28594973</t>
  </si>
  <si>
    <t>28595090</t>
  </si>
  <si>
    <t>28595217</t>
  </si>
  <si>
    <t>28595280</t>
  </si>
  <si>
    <t>28715285</t>
  </si>
  <si>
    <t>28183842</t>
  </si>
  <si>
    <t>28183942</t>
  </si>
  <si>
    <t>28196025</t>
  </si>
  <si>
    <t>28223871</t>
  </si>
  <si>
    <t>28224294</t>
  </si>
  <si>
    <t>28224345</t>
  </si>
  <si>
    <t>28224360</t>
  </si>
  <si>
    <t>28224377</t>
  </si>
  <si>
    <t>28224394</t>
  </si>
  <si>
    <t>28224409</t>
  </si>
  <si>
    <t>28224424</t>
  </si>
  <si>
    <t>28224439</t>
  </si>
  <si>
    <t>28224454</t>
  </si>
  <si>
    <t>28224469</t>
  </si>
  <si>
    <t>28499770</t>
  </si>
  <si>
    <t>28500100</t>
  </si>
  <si>
    <t>28172947</t>
  </si>
  <si>
    <t>28309432</t>
  </si>
  <si>
    <t>28367133</t>
  </si>
  <si>
    <t>28312742</t>
  </si>
  <si>
    <t>28046930</t>
  </si>
  <si>
    <t>28046938</t>
  </si>
  <si>
    <t>28046972</t>
  </si>
  <si>
    <t>28047029</t>
  </si>
  <si>
    <t>28047031</t>
  </si>
  <si>
    <t>28047052</t>
  </si>
  <si>
    <t>28047698</t>
  </si>
  <si>
    <t>28047706</t>
  </si>
  <si>
    <t>28047740</t>
  </si>
  <si>
    <t>28047797</t>
  </si>
  <si>
    <t>28047799</t>
  </si>
  <si>
    <t>28047820</t>
  </si>
  <si>
    <t>28136014</t>
  </si>
  <si>
    <t>28092317</t>
  </si>
  <si>
    <t>28092391</t>
  </si>
  <si>
    <t>28092607</t>
  </si>
  <si>
    <t>28034043</t>
  </si>
  <si>
    <t>28034124</t>
  </si>
  <si>
    <t>28034462</t>
  </si>
  <si>
    <t>28034498</t>
  </si>
  <si>
    <t>28034524</t>
  </si>
  <si>
    <t>28034743</t>
  </si>
  <si>
    <t>28034779</t>
  </si>
  <si>
    <t>28034827</t>
  </si>
  <si>
    <t>28034863</t>
  </si>
  <si>
    <t>28034899</t>
  </si>
  <si>
    <t>28034953</t>
  </si>
  <si>
    <t>28035008</t>
  </si>
  <si>
    <t>28035044</t>
  </si>
  <si>
    <t>28035048</t>
  </si>
  <si>
    <t>28035071</t>
  </si>
  <si>
    <t>28035107</t>
  </si>
  <si>
    <t>28035112</t>
  </si>
  <si>
    <t>28035173</t>
  </si>
  <si>
    <t>28035209</t>
  </si>
  <si>
    <t>28035214</t>
  </si>
  <si>
    <t>28035236</t>
  </si>
  <si>
    <t>28035272</t>
  </si>
  <si>
    <t>28035277</t>
  </si>
  <si>
    <t>28035338</t>
  </si>
  <si>
    <t>28035374</t>
  </si>
  <si>
    <t>28035378</t>
  </si>
  <si>
    <t>28035428</t>
  </si>
  <si>
    <t>28035464</t>
  </si>
  <si>
    <t>28035469</t>
  </si>
  <si>
    <t>28035929</t>
  </si>
  <si>
    <t>28036367</t>
  </si>
  <si>
    <t>28036943</t>
  </si>
  <si>
    <t>28037193</t>
  </si>
  <si>
    <t>28037277</t>
  </si>
  <si>
    <t>28037299</t>
  </si>
  <si>
    <t>28037340</t>
  </si>
  <si>
    <t>28037351</t>
  </si>
  <si>
    <t>28037627</t>
  </si>
  <si>
    <t>28037663</t>
  </si>
  <si>
    <t>28037852</t>
  </si>
  <si>
    <t>28038275</t>
  </si>
  <si>
    <t>28038657</t>
  </si>
  <si>
    <t>28039106</t>
  </si>
  <si>
    <t>28039163</t>
  </si>
  <si>
    <t>28039624</t>
  </si>
  <si>
    <t>28039889</t>
  </si>
  <si>
    <t>28040088</t>
  </si>
  <si>
    <t>28040403</t>
  </si>
  <si>
    <t>28040899</t>
  </si>
  <si>
    <t>28040973</t>
  </si>
  <si>
    <t>28041159</t>
  </si>
  <si>
    <t>28041474</t>
  </si>
  <si>
    <t>28041509</t>
  </si>
  <si>
    <t>28041724</t>
  </si>
  <si>
    <t>28041805</t>
  </si>
  <si>
    <t>28041916</t>
  </si>
  <si>
    <t>28042919</t>
  </si>
  <si>
    <t>28323155</t>
  </si>
  <si>
    <t>28033365</t>
  </si>
  <si>
    <t>28135225</t>
  </si>
  <si>
    <t>28121312</t>
  </si>
  <si>
    <t>28121611</t>
  </si>
  <si>
    <t>28121669</t>
  </si>
  <si>
    <t>28121733</t>
  </si>
  <si>
    <t>28078908</t>
  </si>
  <si>
    <t>28064430</t>
  </si>
  <si>
    <t>28064513</t>
  </si>
  <si>
    <t>28130363</t>
  </si>
  <si>
    <t>28046985</t>
  </si>
  <si>
    <t>28046989</t>
  </si>
  <si>
    <t>28047033</t>
  </si>
  <si>
    <t>28047037</t>
  </si>
  <si>
    <t>28047753</t>
  </si>
  <si>
    <t>28047757</t>
  </si>
  <si>
    <t>28047801</t>
  </si>
  <si>
    <t>28047805</t>
  </si>
  <si>
    <t>28046952</t>
  </si>
  <si>
    <t>28046997</t>
  </si>
  <si>
    <t>28047001</t>
  </si>
  <si>
    <t>28047005</t>
  </si>
  <si>
    <t>28047009</t>
  </si>
  <si>
    <t>28047013</t>
  </si>
  <si>
    <t>28047017</t>
  </si>
  <si>
    <t>28047025</t>
  </si>
  <si>
    <t>28047089</t>
  </si>
  <si>
    <t>28047103</t>
  </si>
  <si>
    <t>28047107</t>
  </si>
  <si>
    <t>28047720</t>
  </si>
  <si>
    <t>28047765</t>
  </si>
  <si>
    <t>28047769</t>
  </si>
  <si>
    <t>28047773</t>
  </si>
  <si>
    <t>28047777</t>
  </si>
  <si>
    <t>28047781</t>
  </si>
  <si>
    <t>28047785</t>
  </si>
  <si>
    <t>28047793</t>
  </si>
  <si>
    <t>28047855</t>
  </si>
  <si>
    <t>28047869</t>
  </si>
  <si>
    <t>28047873</t>
  </si>
  <si>
    <t>28305592</t>
  </si>
  <si>
    <t>28046906</t>
  </si>
  <si>
    <t>28046963</t>
  </si>
  <si>
    <t>28047068</t>
  </si>
  <si>
    <t>28047731</t>
  </si>
  <si>
    <t>28047836</t>
  </si>
  <si>
    <t>1 1/2" 2</t>
  </si>
  <si>
    <t>28183794</t>
  </si>
  <si>
    <t>28183802</t>
  </si>
  <si>
    <t>28183826</t>
  </si>
  <si>
    <t>28183834</t>
  </si>
  <si>
    <t>28223807</t>
  </si>
  <si>
    <t>28499801</t>
  </si>
  <si>
    <t>28500062</t>
  </si>
  <si>
    <t>28172931</t>
  </si>
  <si>
    <t>28172955</t>
  </si>
  <si>
    <t>28172963</t>
  </si>
  <si>
    <t>28172971</t>
  </si>
  <si>
    <t>28172979</t>
  </si>
  <si>
    <t>28177337</t>
  </si>
  <si>
    <t>28180735</t>
  </si>
  <si>
    <t>28046907</t>
  </si>
  <si>
    <t>28047043</t>
  </si>
  <si>
    <t>28047675</t>
  </si>
  <si>
    <t>28047811</t>
  </si>
  <si>
    <t>15.038.0245-0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</si>
</sst>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9"/>
      <name val="Calibri"/>
    </font>
    <font>
      <b/>
      <sz val="11"/>
      <name val="Calibri"/>
    </font>
    <font>
      <b/>
      <sz val="8"/>
      <name val="Calibri"/>
    </font>
    <font>
      <b/>
      <sz val="14"/>
      <name val="Calibri"/>
    </font>
    <font>
      <sz val="1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A9C1EC"/>
      </patternFill>
    </fill>
    <fill>
      <patternFill patternType="solid">
        <fgColor rgb="FFD9E1F2"/>
      </patternFill>
    </fill>
    <fill>
      <patternFill patternType="solid">
        <fgColor rgb="FFEDEDED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8">
    <xf numFmtId="0" fontId="0" fillId="0" borderId="0"/>
    <xf numFmtId="0" fontId="1" fillId="0" borderId="0">
      <alignment wrapText="1"/>
    </xf>
    <xf numFmtId="0" fontId="1" fillId="0" borderId="0">
      <alignment horizontal="left" vertical="center"/>
    </xf>
    <xf numFmtId="0" fontId="5" fillId="0" borderId="0">
      <alignment wrapText="1"/>
    </xf>
    <xf numFmtId="0" fontId="3" fillId="0" borderId="0">
      <alignment wrapText="1"/>
    </xf>
    <xf numFmtId="0" fontId="4" fillId="0" borderId="0">
      <alignment horizontal="center" vertical="center"/>
    </xf>
    <xf numFmtId="0" fontId="3" fillId="0" borderId="0">
      <alignment horizontal="center" wrapText="1"/>
    </xf>
    <xf numFmtId="0" fontId="2" fillId="0" borderId="0">
      <alignment horizontal="center" wrapText="1"/>
    </xf>
  </cellStyleXfs>
  <cellXfs count="24">
    <xf numFmtId="0" fontId="0" fillId="0" borderId="0" xfId="0"/>
    <xf numFmtId="0" fontId="1" fillId="0" borderId="0" xfId="1">
      <alignment wrapText="1"/>
    </xf>
    <xf numFmtId="0" fontId="2" fillId="2" borderId="1" xfId="7" applyFill="1" applyBorder="1" applyAlignment="1">
      <alignment horizontal="center" vertical="center" wrapText="1"/>
    </xf>
    <xf numFmtId="0" fontId="1" fillId="3" borderId="1" xfId="1" applyFill="1" applyBorder="1">
      <alignment wrapText="1"/>
    </xf>
    <xf numFmtId="0" fontId="0" fillId="3" borderId="1" xfId="0" applyFill="1" applyBorder="1"/>
    <xf numFmtId="0" fontId="1" fillId="4" borderId="1" xfId="1" applyFill="1" applyBorder="1">
      <alignment wrapText="1"/>
    </xf>
    <xf numFmtId="0" fontId="1" fillId="4" borderId="1" xfId="1" applyFill="1" applyBorder="1" applyAlignment="1">
      <alignment horizontal="right" wrapText="1"/>
    </xf>
    <xf numFmtId="0" fontId="0" fillId="0" borderId="1" xfId="0" applyBorder="1"/>
    <xf numFmtId="0" fontId="1" fillId="0" borderId="1" xfId="1" applyBorder="1">
      <alignment wrapText="1"/>
    </xf>
    <xf numFmtId="0" fontId="2" fillId="2" borderId="1" xfId="7" applyFill="1" applyBorder="1">
      <alignment horizontal="center" wrapText="1"/>
    </xf>
    <xf numFmtId="0" fontId="0" fillId="2" borderId="1" xfId="0" applyFill="1" applyBorder="1"/>
    <xf numFmtId="0" fontId="5" fillId="7" borderId="1" xfId="3" applyFill="1" applyBorder="1">
      <alignment wrapText="1"/>
    </xf>
    <xf numFmtId="0" fontId="2" fillId="0" borderId="0" xfId="7" applyAlignment="1">
      <alignment horizontal="center" vertical="center" wrapText="1"/>
    </xf>
    <xf numFmtId="0" fontId="2" fillId="5" borderId="1" xfId="7" applyFill="1" applyBorder="1">
      <alignment horizontal="center" wrapText="1"/>
    </xf>
    <xf numFmtId="0" fontId="0" fillId="6" borderId="1" xfId="0" applyFill="1" applyBorder="1" applyAlignment="1">
      <alignment horizontal="center"/>
    </xf>
    <xf numFmtId="0" fontId="2" fillId="2" borderId="1" xfId="7" applyFill="1" applyBorder="1">
      <alignment horizontal="center" wrapText="1"/>
    </xf>
    <xf numFmtId="0" fontId="2" fillId="7" borderId="1" xfId="7" applyFill="1" applyBorder="1">
      <alignment horizontal="center" wrapText="1"/>
    </xf>
    <xf numFmtId="0" fontId="5" fillId="7" borderId="1" xfId="3" applyFill="1" applyBorder="1">
      <alignment wrapText="1"/>
    </xf>
    <xf numFmtId="0" fontId="1" fillId="0" borderId="1" xfId="1" applyBorder="1">
      <alignment wrapText="1"/>
    </xf>
    <xf numFmtId="0" fontId="5" fillId="2" borderId="1" xfId="3" applyFill="1" applyBorder="1">
      <alignment wrapText="1"/>
    </xf>
    <xf numFmtId="0" fontId="2" fillId="2" borderId="1" xfId="7" applyFill="1" applyBorder="1" applyAlignment="1">
      <alignment horizontal="center" vertical="center" wrapText="1"/>
    </xf>
    <xf numFmtId="0" fontId="5" fillId="7" borderId="1" xfId="3" applyFill="1" applyBorder="1" applyAlignment="1">
      <alignment horizontal="center" wrapText="1"/>
    </xf>
    <xf numFmtId="4" fontId="1" fillId="3" borderId="1" xfId="1" applyNumberFormat="1" applyFill="1" applyBorder="1">
      <alignment wrapText="1"/>
    </xf>
    <xf numFmtId="4" fontId="2" fillId="0" borderId="0" xfId="7" applyNumberFormat="1" applyAlignment="1">
      <alignment horizontal="right" wrapText="1"/>
    </xf>
  </cellXfs>
  <cellStyles count="8">
    <cellStyle name="Normal" xfId="0" builtinId="0"/>
    <cellStyle name="styleBold" xfId="4" xr:uid="{00000000-0005-0000-0000-000004000000}"/>
    <cellStyle name="styleBold11" xfId="7" xr:uid="{00000000-0005-0000-0000-000007000000}"/>
    <cellStyle name="styleBold14UR" xfId="5" xr:uid="{00000000-0005-0000-0000-000005000000}"/>
    <cellStyle name="styleBoldRegular" xfId="6" xr:uid="{00000000-0005-0000-0000-000006000000}"/>
    <cellStyle name="styleRegular" xfId="1" xr:uid="{00000000-0005-0000-0000-000001000000}"/>
    <cellStyle name="styleRegular11" xfId="3" xr:uid="{00000000-0005-0000-0000-000003000000}"/>
    <cellStyle name="styleRegular9UR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calcChain" Target="calcChain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theme" Target="theme/theme1.xml"/><Relationship Id="rId10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Criteria_Summary13.2.1" displayName="Criteria_Summary13.2.1" ref="A7:E9" totalsRowCount="1" totalsRowCellStyle="styleRegular">
  <autoFilter ref="A7:E8" xr:uid="{00000000-0009-0000-0100-000001000000}"/>
  <tableColumns count="5">
    <tableColumn id="1" xr3:uid="{00000000-0010-0000-0000-000001000000}" name="Item"/>
    <tableColumn id="2" xr3:uid="{00000000-0010-0000-0000-000002000000}" name="Tipo"/>
    <tableColumn id="3" xr3:uid="{00000000-0010-0000-0000-000003000000}" name="Elementos" totalsRowFunction="sum"/>
    <tableColumn id="4" xr3:uid="{00000000-0010-0000-0000-000004000000}" name="Nome do Subcritério"/>
    <tableColumn id="5" xr3:uid="{00000000-0010-0000-0000-000005000000}" name="Total" totalsRowFunction="sum"/>
  </tableColumns>
  <tableStyleInfo name="TableStyleLight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Criteria_Summary13.2.10" displayName="Criteria_Summary13.2.10" ref="A7:E9" totalsRowCount="1" totalsRowCellStyle="styleRegular">
  <autoFilter ref="A7:E8" xr:uid="{00000000-0009-0000-0100-00000A000000}"/>
  <tableColumns count="5">
    <tableColumn id="1" xr3:uid="{00000000-0010-0000-0900-000001000000}" name="Item"/>
    <tableColumn id="2" xr3:uid="{00000000-0010-0000-0900-000002000000}" name="Tipo"/>
    <tableColumn id="3" xr3:uid="{00000000-0010-0000-0900-000003000000}" name="Elementos" totalsRowFunction="sum"/>
    <tableColumn id="4" xr3:uid="{00000000-0010-0000-0900-000004000000}" name="Nome do Subcritério"/>
    <tableColumn id="5" xr3:uid="{00000000-0010-0000-0900-000005000000}" name="Total" totalsRowFunction="sum"/>
  </tableColumns>
  <tableStyleInfo name="TableStyleLight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Criteria_Summary13.2.11" displayName="Criteria_Summary13.2.11" ref="A7:E10" totalsRowCount="1" totalsRowCellStyle="styleRegular">
  <autoFilter ref="A7:E9" xr:uid="{00000000-0009-0000-0100-00000B000000}"/>
  <tableColumns count="5">
    <tableColumn id="1" xr3:uid="{00000000-0010-0000-0A00-000001000000}" name="Item"/>
    <tableColumn id="2" xr3:uid="{00000000-0010-0000-0A00-000002000000}" name="Tipo"/>
    <tableColumn id="3" xr3:uid="{00000000-0010-0000-0A00-000003000000}" name="Elementos" totalsRowFunction="sum"/>
    <tableColumn id="4" xr3:uid="{00000000-0010-0000-0A00-000004000000}" name="Nome do Subcritério"/>
    <tableColumn id="5" xr3:uid="{00000000-0010-0000-0A00-000005000000}" name="Total" totalsRowFunction="sum"/>
  </tableColumns>
  <tableStyleInfo name="TableStyleLight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Criteria_Summary13.2.12" displayName="Criteria_Summary13.2.12" ref="A7:E10" totalsRowCount="1" totalsRowCellStyle="styleRegular">
  <autoFilter ref="A7:E9" xr:uid="{00000000-0009-0000-0100-00000C000000}"/>
  <tableColumns count="5">
    <tableColumn id="1" xr3:uid="{00000000-0010-0000-0B00-000001000000}" name="Item"/>
    <tableColumn id="2" xr3:uid="{00000000-0010-0000-0B00-000002000000}" name="Tipo"/>
    <tableColumn id="3" xr3:uid="{00000000-0010-0000-0B00-000003000000}" name="Elementos" totalsRowFunction="sum"/>
    <tableColumn id="4" xr3:uid="{00000000-0010-0000-0B00-000004000000}" name="Nome do Subcritério"/>
    <tableColumn id="5" xr3:uid="{00000000-0010-0000-0B00-000005000000}" name="Total" totalsRowFunction="sum"/>
  </tableColumns>
  <tableStyleInfo name="TableStyleLight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Criteria_Summary13.2.13" displayName="Criteria_Summary13.2.13" ref="A7:E9" totalsRowCount="1" totalsRowCellStyle="styleRegular">
  <autoFilter ref="A7:E8" xr:uid="{00000000-0009-0000-0100-00000D000000}"/>
  <tableColumns count="5">
    <tableColumn id="1" xr3:uid="{00000000-0010-0000-0C00-000001000000}" name="Item"/>
    <tableColumn id="2" xr3:uid="{00000000-0010-0000-0C00-000002000000}" name="Tipo"/>
    <tableColumn id="3" xr3:uid="{00000000-0010-0000-0C00-000003000000}" name="Elementos" totalsRowFunction="sum"/>
    <tableColumn id="4" xr3:uid="{00000000-0010-0000-0C00-000004000000}" name="Nome do Subcritério"/>
    <tableColumn id="5" xr3:uid="{00000000-0010-0000-0C00-000005000000}" name="Total" totalsRowFunction="sum"/>
  </tableColumns>
  <tableStyleInfo name="TableStyleLight4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Criteria_Summary13.2.14" displayName="Criteria_Summary13.2.14" ref="A7:E9" totalsRowCount="1" totalsRowCellStyle="styleRegular">
  <autoFilter ref="A7:E8" xr:uid="{00000000-0009-0000-0100-00000E000000}"/>
  <tableColumns count="5">
    <tableColumn id="1" xr3:uid="{00000000-0010-0000-0D00-000001000000}" name="Item"/>
    <tableColumn id="2" xr3:uid="{00000000-0010-0000-0D00-000002000000}" name="Tipo"/>
    <tableColumn id="3" xr3:uid="{00000000-0010-0000-0D00-000003000000}" name="Elementos" totalsRowFunction="sum"/>
    <tableColumn id="4" xr3:uid="{00000000-0010-0000-0D00-000004000000}" name="Nome do Subcritério"/>
    <tableColumn id="5" xr3:uid="{00000000-0010-0000-0D00-000005000000}" name="Total" totalsRowFunction="sum"/>
  </tableColumns>
  <tableStyleInfo name="TableStyleLight4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Criteria_Summary13.2.15" displayName="Criteria_Summary13.2.15" ref="A7:E9" totalsRowCount="1" totalsRowCellStyle="styleRegular">
  <autoFilter ref="A7:E8" xr:uid="{00000000-0009-0000-0100-00000F000000}"/>
  <tableColumns count="5">
    <tableColumn id="1" xr3:uid="{00000000-0010-0000-0E00-000001000000}" name="Item"/>
    <tableColumn id="2" xr3:uid="{00000000-0010-0000-0E00-000002000000}" name="Tipo"/>
    <tableColumn id="3" xr3:uid="{00000000-0010-0000-0E00-000003000000}" name="Elementos" totalsRowFunction="sum"/>
    <tableColumn id="4" xr3:uid="{00000000-0010-0000-0E00-000004000000}" name="Nome do Subcritério"/>
    <tableColumn id="5" xr3:uid="{00000000-0010-0000-0E00-000005000000}" name="Total" totalsRowFunction="sum"/>
  </tableColumns>
  <tableStyleInfo name="TableStyleLight4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F000000}" name="Criteria_Summary13.2.16" displayName="Criteria_Summary13.2.16" ref="A7:E9" totalsRowCount="1" totalsRowCellStyle="styleRegular">
  <autoFilter ref="A7:E8" xr:uid="{00000000-0009-0000-0100-000010000000}"/>
  <tableColumns count="5">
    <tableColumn id="1" xr3:uid="{00000000-0010-0000-0F00-000001000000}" name="Item"/>
    <tableColumn id="2" xr3:uid="{00000000-0010-0000-0F00-000002000000}" name="Tipo"/>
    <tableColumn id="3" xr3:uid="{00000000-0010-0000-0F00-000003000000}" name="Elementos" totalsRowFunction="sum"/>
    <tableColumn id="4" xr3:uid="{00000000-0010-0000-0F00-000004000000}" name="Nome do Subcritério"/>
    <tableColumn id="5" xr3:uid="{00000000-0010-0000-0F00-000005000000}" name="Total" totalsRowFunction="sum"/>
  </tableColumns>
  <tableStyleInfo name="TableStyleLight4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10000000}" name="Criteria_Summary13.2.17" displayName="Criteria_Summary13.2.17" ref="A7:E9" totalsRowCount="1" totalsRowCellStyle="styleRegular">
  <autoFilter ref="A7:E8" xr:uid="{00000000-0009-0000-0100-000011000000}"/>
  <tableColumns count="5">
    <tableColumn id="1" xr3:uid="{00000000-0010-0000-1000-000001000000}" name="Item"/>
    <tableColumn id="2" xr3:uid="{00000000-0010-0000-1000-000002000000}" name="Tipo"/>
    <tableColumn id="3" xr3:uid="{00000000-0010-0000-1000-000003000000}" name="Elementos" totalsRowFunction="sum"/>
    <tableColumn id="4" xr3:uid="{00000000-0010-0000-1000-000004000000}" name="Nome do Subcritério"/>
    <tableColumn id="5" xr3:uid="{00000000-0010-0000-1000-000005000000}" name="Total" totalsRowFunction="sum"/>
  </tableColumns>
  <tableStyleInfo name="TableStyleLight4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00000000-000C-0000-FFFF-FFFF11000000}" name="Criteria_Summary13.2.18" displayName="Criteria_Summary13.2.18" ref="A7:E9" totalsRowCount="1" totalsRowCellStyle="styleRegular">
  <autoFilter ref="A7:E8" xr:uid="{00000000-0009-0000-0100-000012000000}"/>
  <tableColumns count="5">
    <tableColumn id="1" xr3:uid="{00000000-0010-0000-1100-000001000000}" name="Item"/>
    <tableColumn id="2" xr3:uid="{00000000-0010-0000-1100-000002000000}" name="Tipo"/>
    <tableColumn id="3" xr3:uid="{00000000-0010-0000-1100-000003000000}" name="Elementos" totalsRowFunction="sum"/>
    <tableColumn id="4" xr3:uid="{00000000-0010-0000-1100-000004000000}" name="Nome do Subcritério"/>
    <tableColumn id="5" xr3:uid="{00000000-0010-0000-1100-000005000000}" name="Total" totalsRowFunction="sum"/>
  </tableColumns>
  <tableStyleInfo name="TableStyleLight4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12000000}" name="Criteria_Summary13.2.19" displayName="Criteria_Summary13.2.19" ref="A7:E9" totalsRowCount="1" totalsRowCellStyle="styleRegular">
  <autoFilter ref="A7:E8" xr:uid="{00000000-0009-0000-0100-000013000000}"/>
  <tableColumns count="5">
    <tableColumn id="1" xr3:uid="{00000000-0010-0000-1200-000001000000}" name="Item"/>
    <tableColumn id="2" xr3:uid="{00000000-0010-0000-1200-000002000000}" name="Tipo"/>
    <tableColumn id="3" xr3:uid="{00000000-0010-0000-1200-000003000000}" name="Elementos" totalsRowFunction="sum"/>
    <tableColumn id="4" xr3:uid="{00000000-0010-0000-1200-000004000000}" name="Nome do Subcritério"/>
    <tableColumn id="5" xr3:uid="{00000000-0010-0000-1200-000005000000}" name="Total" totalsRowFunction="sum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riteria_Summary13.2.2" displayName="Criteria_Summary13.2.2" ref="A7:E9" totalsRowCount="1" totalsRowCellStyle="styleRegular">
  <autoFilter ref="A7:E8" xr:uid="{00000000-0009-0000-0100-000002000000}"/>
  <tableColumns count="5">
    <tableColumn id="1" xr3:uid="{00000000-0010-0000-0100-000001000000}" name="Item"/>
    <tableColumn id="2" xr3:uid="{00000000-0010-0000-0100-000002000000}" name="Tipo"/>
    <tableColumn id="3" xr3:uid="{00000000-0010-0000-0100-000003000000}" name="Elementos" totalsRowFunction="sum"/>
    <tableColumn id="4" xr3:uid="{00000000-0010-0000-0100-000004000000}" name="Nome do Subcritério"/>
    <tableColumn id="5" xr3:uid="{00000000-0010-0000-0100-000005000000}" name="Total" totalsRowFunction="sum"/>
  </tableColumns>
  <tableStyleInfo name="TableStyleLight4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13000000}" name="Criteria_Summary13.2.20" displayName="Criteria_Summary13.2.20" ref="A7:E9" totalsRowCount="1" totalsRowCellStyle="styleRegular">
  <autoFilter ref="A7:E8" xr:uid="{00000000-0009-0000-0100-000014000000}"/>
  <tableColumns count="5">
    <tableColumn id="1" xr3:uid="{00000000-0010-0000-1300-000001000000}" name="Item"/>
    <tableColumn id="2" xr3:uid="{00000000-0010-0000-1300-000002000000}" name="Tipo"/>
    <tableColumn id="3" xr3:uid="{00000000-0010-0000-1300-000003000000}" name="Elementos" totalsRowFunction="sum"/>
    <tableColumn id="4" xr3:uid="{00000000-0010-0000-1300-000004000000}" name="Nome do Subcritério"/>
    <tableColumn id="5" xr3:uid="{00000000-0010-0000-1300-000005000000}" name="Total" totalsRowFunction="sum"/>
  </tableColumns>
  <tableStyleInfo name="TableStyleLight4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00000000-000C-0000-FFFF-FFFF14000000}" name="Criteria_Summary13.2.21" displayName="Criteria_Summary13.2.21" ref="A7:E9" totalsRowCount="1" totalsRowCellStyle="styleRegular">
  <autoFilter ref="A7:E8" xr:uid="{00000000-0009-0000-0100-000015000000}"/>
  <tableColumns count="5">
    <tableColumn id="1" xr3:uid="{00000000-0010-0000-1400-000001000000}" name="Item"/>
    <tableColumn id="2" xr3:uid="{00000000-0010-0000-1400-000002000000}" name="Tipo"/>
    <tableColumn id="3" xr3:uid="{00000000-0010-0000-1400-000003000000}" name="Elementos" totalsRowFunction="sum"/>
    <tableColumn id="4" xr3:uid="{00000000-0010-0000-1400-000004000000}" name="Nome do Subcritério"/>
    <tableColumn id="5" xr3:uid="{00000000-0010-0000-1400-000005000000}" name="Total" totalsRowFunction="sum"/>
  </tableColumns>
  <tableStyleInfo name="TableStyleLight4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15000000}" name="Criteria_Summary13.2.22" displayName="Criteria_Summary13.2.22" ref="A7:E9" totalsRowCount="1" totalsRowCellStyle="styleRegular">
  <autoFilter ref="A7:E8" xr:uid="{00000000-0009-0000-0100-000016000000}"/>
  <tableColumns count="5">
    <tableColumn id="1" xr3:uid="{00000000-0010-0000-1500-000001000000}" name="Item"/>
    <tableColumn id="2" xr3:uid="{00000000-0010-0000-1500-000002000000}" name="Tipo"/>
    <tableColumn id="3" xr3:uid="{00000000-0010-0000-1500-000003000000}" name="Elementos" totalsRowFunction="sum"/>
    <tableColumn id="4" xr3:uid="{00000000-0010-0000-1500-000004000000}" name="Nome do Subcritério"/>
    <tableColumn id="5" xr3:uid="{00000000-0010-0000-1500-000005000000}" name="Total" totalsRowFunction="sum"/>
  </tableColumns>
  <tableStyleInfo name="TableStyleLight4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00000000-000C-0000-FFFF-FFFF16000000}" name="Criteria_Summary13.2.23" displayName="Criteria_Summary13.2.23" ref="A7:E9" totalsRowCount="1" totalsRowCellStyle="styleRegular">
  <autoFilter ref="A7:E8" xr:uid="{00000000-0009-0000-0100-000017000000}"/>
  <tableColumns count="5">
    <tableColumn id="1" xr3:uid="{00000000-0010-0000-1600-000001000000}" name="Item"/>
    <tableColumn id="2" xr3:uid="{00000000-0010-0000-1600-000002000000}" name="Tipo"/>
    <tableColumn id="3" xr3:uid="{00000000-0010-0000-1600-000003000000}" name="Elementos" totalsRowFunction="sum"/>
    <tableColumn id="4" xr3:uid="{00000000-0010-0000-1600-000004000000}" name="Nome do Subcritério"/>
    <tableColumn id="5" xr3:uid="{00000000-0010-0000-1600-000005000000}" name="Total" totalsRowFunction="sum"/>
  </tableColumns>
  <tableStyleInfo name="TableStyleLight4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17000000}" name="Criteria_Summary13.2.24" displayName="Criteria_Summary13.2.24" ref="A7:E9" totalsRowCount="1" totalsRowCellStyle="styleRegular">
  <autoFilter ref="A7:E8" xr:uid="{00000000-0009-0000-0100-000018000000}"/>
  <tableColumns count="5">
    <tableColumn id="1" xr3:uid="{00000000-0010-0000-1700-000001000000}" name="Item"/>
    <tableColumn id="2" xr3:uid="{00000000-0010-0000-1700-000002000000}" name="Tipo"/>
    <tableColumn id="3" xr3:uid="{00000000-0010-0000-1700-000003000000}" name="Elementos" totalsRowFunction="sum"/>
    <tableColumn id="4" xr3:uid="{00000000-0010-0000-1700-000004000000}" name="Nome do Subcritério"/>
    <tableColumn id="5" xr3:uid="{00000000-0010-0000-1700-000005000000}" name="Total" totalsRowFunction="sum"/>
  </tableColumns>
  <tableStyleInfo name="TableStyleLight4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0000000-000C-0000-FFFF-FFFF18000000}" name="Criteria_Summary13.2.25" displayName="Criteria_Summary13.2.25" ref="A7:E9" totalsRowCount="1" totalsRowCellStyle="styleRegular">
  <autoFilter ref="A7:E8" xr:uid="{00000000-0009-0000-0100-000019000000}"/>
  <tableColumns count="5">
    <tableColumn id="1" xr3:uid="{00000000-0010-0000-1800-000001000000}" name="Item"/>
    <tableColumn id="2" xr3:uid="{00000000-0010-0000-1800-000002000000}" name="Tipo"/>
    <tableColumn id="3" xr3:uid="{00000000-0010-0000-1800-000003000000}" name="Elementos" totalsRowFunction="sum"/>
    <tableColumn id="4" xr3:uid="{00000000-0010-0000-1800-000004000000}" name="Nome do Subcritério"/>
    <tableColumn id="5" xr3:uid="{00000000-0010-0000-1800-000005000000}" name="Total" totalsRowFunction="sum"/>
  </tableColumns>
  <tableStyleInfo name="TableStyleLight4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19000000}" name="Criteria_Summary13.2.26" displayName="Criteria_Summary13.2.26" ref="A7:E9" totalsRowCount="1" totalsRowCellStyle="styleRegular">
  <autoFilter ref="A7:E8" xr:uid="{00000000-0009-0000-0100-00001A000000}"/>
  <tableColumns count="5">
    <tableColumn id="1" xr3:uid="{00000000-0010-0000-1900-000001000000}" name="Item"/>
    <tableColumn id="2" xr3:uid="{00000000-0010-0000-1900-000002000000}" name="Tipo"/>
    <tableColumn id="3" xr3:uid="{00000000-0010-0000-1900-000003000000}" name="Elementos" totalsRowFunction="sum"/>
    <tableColumn id="4" xr3:uid="{00000000-0010-0000-1900-000004000000}" name="Nome do Subcritério"/>
    <tableColumn id="5" xr3:uid="{00000000-0010-0000-1900-000005000000}" name="Total" totalsRowFunction="sum"/>
  </tableColumns>
  <tableStyleInfo name="TableStyleLight4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00000000-000C-0000-FFFF-FFFF1A000000}" name="Criteria_Summary13.2.27" displayName="Criteria_Summary13.2.27" ref="A7:E9" totalsRowCount="1" totalsRowCellStyle="styleRegular">
  <autoFilter ref="A7:E8" xr:uid="{00000000-0009-0000-0100-00001B000000}"/>
  <tableColumns count="5">
    <tableColumn id="1" xr3:uid="{00000000-0010-0000-1A00-000001000000}" name="Item"/>
    <tableColumn id="2" xr3:uid="{00000000-0010-0000-1A00-000002000000}" name="Tipo"/>
    <tableColumn id="3" xr3:uid="{00000000-0010-0000-1A00-000003000000}" name="Elementos" totalsRowFunction="sum"/>
    <tableColumn id="4" xr3:uid="{00000000-0010-0000-1A00-000004000000}" name="Nome do Subcritério"/>
    <tableColumn id="5" xr3:uid="{00000000-0010-0000-1A00-000005000000}" name="Total" totalsRowFunction="sum"/>
  </tableColumns>
  <tableStyleInfo name="TableStyleLight4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1B000000}" name="Criteria_Summary13.2.28" displayName="Criteria_Summary13.2.28" ref="A7:E9" totalsRowCount="1" totalsRowCellStyle="styleRegular">
  <autoFilter ref="A7:E8" xr:uid="{00000000-0009-0000-0100-00001C000000}"/>
  <tableColumns count="5">
    <tableColumn id="1" xr3:uid="{00000000-0010-0000-1B00-000001000000}" name="Item"/>
    <tableColumn id="2" xr3:uid="{00000000-0010-0000-1B00-000002000000}" name="Tipo"/>
    <tableColumn id="3" xr3:uid="{00000000-0010-0000-1B00-000003000000}" name="Elementos" totalsRowFunction="sum"/>
    <tableColumn id="4" xr3:uid="{00000000-0010-0000-1B00-000004000000}" name="Nome do Subcritério"/>
    <tableColumn id="5" xr3:uid="{00000000-0010-0000-1B00-000005000000}" name="Total" totalsRowFunction="sum"/>
  </tableColumns>
  <tableStyleInfo name="TableStyleLight4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00000000-000C-0000-FFFF-FFFF1C000000}" name="Criteria_Summary13.2.29" displayName="Criteria_Summary13.2.29" ref="A7:E9" totalsRowCount="1" totalsRowCellStyle="styleRegular">
  <autoFilter ref="A7:E8" xr:uid="{00000000-0009-0000-0100-00001D000000}"/>
  <tableColumns count="5">
    <tableColumn id="1" xr3:uid="{00000000-0010-0000-1C00-000001000000}" name="Item"/>
    <tableColumn id="2" xr3:uid="{00000000-0010-0000-1C00-000002000000}" name="Tipo"/>
    <tableColumn id="3" xr3:uid="{00000000-0010-0000-1C00-000003000000}" name="Elementos" totalsRowFunction="sum"/>
    <tableColumn id="4" xr3:uid="{00000000-0010-0000-1C00-000004000000}" name="Nome do Subcritério"/>
    <tableColumn id="5" xr3:uid="{00000000-0010-0000-1C00-000005000000}" name="Total" totalsRowFunction="sum"/>
  </tableColumns>
  <tableStyleInfo name="TableStyleLight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riteria_Summary13.2.3" displayName="Criteria_Summary13.2.3" ref="A7:E9" totalsRowCount="1" totalsRowCellStyle="styleRegular">
  <autoFilter ref="A7:E8" xr:uid="{00000000-0009-0000-0100-000003000000}"/>
  <tableColumns count="5">
    <tableColumn id="1" xr3:uid="{00000000-0010-0000-0200-000001000000}" name="Item"/>
    <tableColumn id="2" xr3:uid="{00000000-0010-0000-0200-000002000000}" name="Tipo"/>
    <tableColumn id="3" xr3:uid="{00000000-0010-0000-0200-000003000000}" name="Elementos" totalsRowFunction="sum"/>
    <tableColumn id="4" xr3:uid="{00000000-0010-0000-0200-000004000000}" name="Nome do Subcritério"/>
    <tableColumn id="5" xr3:uid="{00000000-0010-0000-0200-000005000000}" name="Total" totalsRowFunction="sum"/>
  </tableColumns>
  <tableStyleInfo name="TableStyleLight4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00000000-000C-0000-FFFF-FFFF1D000000}" name="Criteria_Summary13.2.30" displayName="Criteria_Summary13.2.30" ref="A7:E9" totalsRowCount="1" totalsRowCellStyle="styleRegular">
  <autoFilter ref="A7:E8" xr:uid="{00000000-0009-0000-0100-00001E000000}"/>
  <tableColumns count="5">
    <tableColumn id="1" xr3:uid="{00000000-0010-0000-1D00-000001000000}" name="Item"/>
    <tableColumn id="2" xr3:uid="{00000000-0010-0000-1D00-000002000000}" name="Tipo"/>
    <tableColumn id="3" xr3:uid="{00000000-0010-0000-1D00-000003000000}" name="Elementos" totalsRowFunction="sum"/>
    <tableColumn id="4" xr3:uid="{00000000-0010-0000-1D00-000004000000}" name="Nome do Subcritério"/>
    <tableColumn id="5" xr3:uid="{00000000-0010-0000-1D00-000005000000}" name="Total" totalsRowFunction="sum"/>
  </tableColumns>
  <tableStyleInfo name="TableStyleLight4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00000000-000C-0000-FFFF-FFFF1E000000}" name="Criteria_Summary13.2.31" displayName="Criteria_Summary13.2.31" ref="A7:E9" totalsRowCount="1" totalsRowCellStyle="styleRegular">
  <autoFilter ref="A7:E8" xr:uid="{00000000-0009-0000-0100-00001F000000}"/>
  <tableColumns count="5">
    <tableColumn id="1" xr3:uid="{00000000-0010-0000-1E00-000001000000}" name="Item"/>
    <tableColumn id="2" xr3:uid="{00000000-0010-0000-1E00-000002000000}" name="Tipo"/>
    <tableColumn id="3" xr3:uid="{00000000-0010-0000-1E00-000003000000}" name="Elementos" totalsRowFunction="sum"/>
    <tableColumn id="4" xr3:uid="{00000000-0010-0000-1E00-000004000000}" name="Nome do Subcritério"/>
    <tableColumn id="5" xr3:uid="{00000000-0010-0000-1E00-000005000000}" name="Total" totalsRowFunction="sum"/>
  </tableColumns>
  <tableStyleInfo name="TableStyleLight4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1F000000}" name="Criteria_Summary13.2.32" displayName="Criteria_Summary13.2.32" ref="A7:E9" totalsRowCount="1" totalsRowCellStyle="styleRegular">
  <autoFilter ref="A7:E8" xr:uid="{00000000-0009-0000-0100-000020000000}"/>
  <tableColumns count="5">
    <tableColumn id="1" xr3:uid="{00000000-0010-0000-1F00-000001000000}" name="Item"/>
    <tableColumn id="2" xr3:uid="{00000000-0010-0000-1F00-000002000000}" name="Tipo"/>
    <tableColumn id="3" xr3:uid="{00000000-0010-0000-1F00-000003000000}" name="Elementos" totalsRowFunction="sum"/>
    <tableColumn id="4" xr3:uid="{00000000-0010-0000-1F00-000004000000}" name="Nome do Subcritério"/>
    <tableColumn id="5" xr3:uid="{00000000-0010-0000-1F00-000005000000}" name="Total" totalsRowFunction="sum"/>
  </tableColumns>
  <tableStyleInfo name="TableStyleLight4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20000000}" name="Criteria_Summary13.2.33" displayName="Criteria_Summary13.2.33" ref="A7:E9" totalsRowCount="1" totalsRowCellStyle="styleRegular">
  <autoFilter ref="A7:E8" xr:uid="{00000000-0009-0000-0100-000021000000}"/>
  <tableColumns count="5">
    <tableColumn id="1" xr3:uid="{00000000-0010-0000-2000-000001000000}" name="Item"/>
    <tableColumn id="2" xr3:uid="{00000000-0010-0000-2000-000002000000}" name="Tipo"/>
    <tableColumn id="3" xr3:uid="{00000000-0010-0000-2000-000003000000}" name="Elementos" totalsRowFunction="sum"/>
    <tableColumn id="4" xr3:uid="{00000000-0010-0000-2000-000004000000}" name="Nome do Subcritério"/>
    <tableColumn id="5" xr3:uid="{00000000-0010-0000-2000-000005000000}" name="Total" totalsRowFunction="sum"/>
  </tableColumns>
  <tableStyleInfo name="TableStyleLight4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21000000}" name="Criteria_Summary13.2.34" displayName="Criteria_Summary13.2.34" ref="A7:E9" totalsRowCount="1" totalsRowCellStyle="styleRegular">
  <autoFilter ref="A7:E8" xr:uid="{00000000-0009-0000-0100-000022000000}"/>
  <tableColumns count="5">
    <tableColumn id="1" xr3:uid="{00000000-0010-0000-2100-000001000000}" name="Item"/>
    <tableColumn id="2" xr3:uid="{00000000-0010-0000-2100-000002000000}" name="Tipo"/>
    <tableColumn id="3" xr3:uid="{00000000-0010-0000-2100-000003000000}" name="Elementos" totalsRowFunction="sum"/>
    <tableColumn id="4" xr3:uid="{00000000-0010-0000-2100-000004000000}" name="Nome do Subcritério"/>
    <tableColumn id="5" xr3:uid="{00000000-0010-0000-2100-000005000000}" name="Total" totalsRowFunction="sum"/>
  </tableColumns>
  <tableStyleInfo name="TableStyleLight4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22000000}" name="Criteria_Summary13.2.35" displayName="Criteria_Summary13.2.35" ref="A7:E9" totalsRowCount="1" totalsRowCellStyle="styleRegular">
  <autoFilter ref="A7:E8" xr:uid="{00000000-0009-0000-0100-000023000000}"/>
  <tableColumns count="5">
    <tableColumn id="1" xr3:uid="{00000000-0010-0000-2200-000001000000}" name="Item"/>
    <tableColumn id="2" xr3:uid="{00000000-0010-0000-2200-000002000000}" name="Tipo"/>
    <tableColumn id="3" xr3:uid="{00000000-0010-0000-2200-000003000000}" name="Elementos" totalsRowFunction="sum"/>
    <tableColumn id="4" xr3:uid="{00000000-0010-0000-2200-000004000000}" name="Nome do Subcritério"/>
    <tableColumn id="5" xr3:uid="{00000000-0010-0000-2200-000005000000}" name="Total" totalsRowFunction="sum"/>
  </tableColumns>
  <tableStyleInfo name="TableStyleLight4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23000000}" name="Criteria_Summary13.2.36" displayName="Criteria_Summary13.2.36" ref="A7:E9" totalsRowCount="1" totalsRowCellStyle="styleRegular">
  <autoFilter ref="A7:E8" xr:uid="{00000000-0009-0000-0100-000024000000}"/>
  <tableColumns count="5">
    <tableColumn id="1" xr3:uid="{00000000-0010-0000-2300-000001000000}" name="Item"/>
    <tableColumn id="2" xr3:uid="{00000000-0010-0000-2300-000002000000}" name="Tipo"/>
    <tableColumn id="3" xr3:uid="{00000000-0010-0000-2300-000003000000}" name="Elementos" totalsRowFunction="sum"/>
    <tableColumn id="4" xr3:uid="{00000000-0010-0000-2300-000004000000}" name="Nome do Subcritério"/>
    <tableColumn id="5" xr3:uid="{00000000-0010-0000-2300-000005000000}" name="Total" totalsRowFunction="sum"/>
  </tableColumns>
  <tableStyleInfo name="TableStyleLight4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24000000}" name="Criteria_Summary13.2.37" displayName="Criteria_Summary13.2.37" ref="A7:E9" totalsRowCount="1" totalsRowCellStyle="styleRegular">
  <autoFilter ref="A7:E8" xr:uid="{00000000-0009-0000-0100-000025000000}"/>
  <tableColumns count="5">
    <tableColumn id="1" xr3:uid="{00000000-0010-0000-2400-000001000000}" name="Item"/>
    <tableColumn id="2" xr3:uid="{00000000-0010-0000-2400-000002000000}" name="Tipo"/>
    <tableColumn id="3" xr3:uid="{00000000-0010-0000-2400-000003000000}" name="Elementos" totalsRowFunction="sum"/>
    <tableColumn id="4" xr3:uid="{00000000-0010-0000-2400-000004000000}" name="Nome do Subcritério"/>
    <tableColumn id="5" xr3:uid="{00000000-0010-0000-2400-000005000000}" name="Total" totalsRowFunction="sum"/>
  </tableColumns>
  <tableStyleInfo name="TableStyleLight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00000000-000C-0000-FFFF-FFFF25000000}" name="Criteria_Summary13.2.38" displayName="Criteria_Summary13.2.38" ref="A7:E9" totalsRowCount="1" totalsRowCellStyle="styleRegular">
  <autoFilter ref="A7:E8" xr:uid="{00000000-0009-0000-0100-000026000000}"/>
  <tableColumns count="5">
    <tableColumn id="1" xr3:uid="{00000000-0010-0000-2500-000001000000}" name="Item"/>
    <tableColumn id="2" xr3:uid="{00000000-0010-0000-2500-000002000000}" name="Tipo"/>
    <tableColumn id="3" xr3:uid="{00000000-0010-0000-2500-000003000000}" name="Elementos" totalsRowFunction="sum"/>
    <tableColumn id="4" xr3:uid="{00000000-0010-0000-2500-000004000000}" name="Nome do Subcritério"/>
    <tableColumn id="5" xr3:uid="{00000000-0010-0000-2500-000005000000}" name="Total" totalsRowFunction="sum"/>
  </tableColumns>
  <tableStyleInfo name="TableStyleLight4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00000000-000C-0000-FFFF-FFFF26000000}" name="Criteria_Summary13.2.39" displayName="Criteria_Summary13.2.39" ref="A7:E9" totalsRowCount="1" totalsRowCellStyle="styleRegular">
  <autoFilter ref="A7:E8" xr:uid="{00000000-0009-0000-0100-000027000000}"/>
  <tableColumns count="5">
    <tableColumn id="1" xr3:uid="{00000000-0010-0000-2600-000001000000}" name="Item"/>
    <tableColumn id="2" xr3:uid="{00000000-0010-0000-2600-000002000000}" name="Tipo"/>
    <tableColumn id="3" xr3:uid="{00000000-0010-0000-2600-000003000000}" name="Elementos" totalsRowFunction="sum"/>
    <tableColumn id="4" xr3:uid="{00000000-0010-0000-2600-000004000000}" name="Nome do Subcritério"/>
    <tableColumn id="5" xr3:uid="{00000000-0010-0000-2600-000005000000}" name="Total" totalsRowFunction="sum"/>
  </tableColumns>
  <tableStyleInfo name="TableStyleLight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Criteria_Summary13.2.4" displayName="Criteria_Summary13.2.4" ref="A7:E9" totalsRowCount="1" totalsRowCellStyle="styleRegular">
  <autoFilter ref="A7:E8" xr:uid="{00000000-0009-0000-0100-000004000000}"/>
  <tableColumns count="5">
    <tableColumn id="1" xr3:uid="{00000000-0010-0000-0300-000001000000}" name="Item"/>
    <tableColumn id="2" xr3:uid="{00000000-0010-0000-0300-000002000000}" name="Tipo"/>
    <tableColumn id="3" xr3:uid="{00000000-0010-0000-0300-000003000000}" name="Elementos" totalsRowFunction="sum"/>
    <tableColumn id="4" xr3:uid="{00000000-0010-0000-0300-000004000000}" name="Nome do Subcritério"/>
    <tableColumn id="5" xr3:uid="{00000000-0010-0000-0300-000005000000}" name="Total" totalsRowFunction="sum"/>
  </tableColumns>
  <tableStyleInfo name="TableStyleLight4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00000000-000C-0000-FFFF-FFFF27000000}" name="Criteria_Summary13.2.40" displayName="Criteria_Summary13.2.40" ref="A7:E9" totalsRowCount="1" totalsRowCellStyle="styleRegular">
  <autoFilter ref="A7:E8" xr:uid="{00000000-0009-0000-0100-000028000000}"/>
  <tableColumns count="5">
    <tableColumn id="1" xr3:uid="{00000000-0010-0000-2700-000001000000}" name="Item"/>
    <tableColumn id="2" xr3:uid="{00000000-0010-0000-2700-000002000000}" name="Tipo"/>
    <tableColumn id="3" xr3:uid="{00000000-0010-0000-2700-000003000000}" name="Elementos" totalsRowFunction="sum"/>
    <tableColumn id="4" xr3:uid="{00000000-0010-0000-2700-000004000000}" name="Nome do Subcritério"/>
    <tableColumn id="5" xr3:uid="{00000000-0010-0000-2700-000005000000}" name="Total" totalsRowFunction="sum"/>
  </tableColumns>
  <tableStyleInfo name="TableStyleLight4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28000000}" name="Criteria_Summary13.2.41" displayName="Criteria_Summary13.2.41" ref="A7:E9" totalsRowCount="1" totalsRowCellStyle="styleRegular">
  <autoFilter ref="A7:E8" xr:uid="{00000000-0009-0000-0100-000029000000}"/>
  <tableColumns count="5">
    <tableColumn id="1" xr3:uid="{00000000-0010-0000-2800-000001000000}" name="Item"/>
    <tableColumn id="2" xr3:uid="{00000000-0010-0000-2800-000002000000}" name="Tipo"/>
    <tableColumn id="3" xr3:uid="{00000000-0010-0000-2800-000003000000}" name="Elementos" totalsRowFunction="sum"/>
    <tableColumn id="4" xr3:uid="{00000000-0010-0000-2800-000004000000}" name="Nome do Subcritério"/>
    <tableColumn id="5" xr3:uid="{00000000-0010-0000-2800-000005000000}" name="Total" totalsRowFunction="sum"/>
  </tableColumns>
  <tableStyleInfo name="TableStyleLight4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00000000-000C-0000-FFFF-FFFF29000000}" name="Criteria_Summary13.2.42" displayName="Criteria_Summary13.2.42" ref="A7:E9" totalsRowCount="1" totalsRowCellStyle="styleRegular">
  <autoFilter ref="A7:E8" xr:uid="{00000000-0009-0000-0100-00002A000000}"/>
  <tableColumns count="5">
    <tableColumn id="1" xr3:uid="{00000000-0010-0000-2900-000001000000}" name="Item"/>
    <tableColumn id="2" xr3:uid="{00000000-0010-0000-2900-000002000000}" name="Tipo"/>
    <tableColumn id="3" xr3:uid="{00000000-0010-0000-2900-000003000000}" name="Elementos" totalsRowFunction="sum"/>
    <tableColumn id="4" xr3:uid="{00000000-0010-0000-2900-000004000000}" name="Nome do Subcritério"/>
    <tableColumn id="5" xr3:uid="{00000000-0010-0000-2900-000005000000}" name="Total" totalsRowFunction="sum"/>
  </tableColumns>
  <tableStyleInfo name="TableStyleLight4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00000000-000C-0000-FFFF-FFFF2A000000}" name="Criteria_Summary13.2.43" displayName="Criteria_Summary13.2.43" ref="A7:E9" totalsRowCount="1" totalsRowCellStyle="styleRegular">
  <autoFilter ref="A7:E8" xr:uid="{00000000-0009-0000-0100-00002B000000}"/>
  <tableColumns count="5">
    <tableColumn id="1" xr3:uid="{00000000-0010-0000-2A00-000001000000}" name="Item"/>
    <tableColumn id="2" xr3:uid="{00000000-0010-0000-2A00-000002000000}" name="Tipo"/>
    <tableColumn id="3" xr3:uid="{00000000-0010-0000-2A00-000003000000}" name="Elementos" totalsRowFunction="sum"/>
    <tableColumn id="4" xr3:uid="{00000000-0010-0000-2A00-000004000000}" name="Nome do Subcritério"/>
    <tableColumn id="5" xr3:uid="{00000000-0010-0000-2A00-000005000000}" name="Total" totalsRowFunction="sum"/>
  </tableColumns>
  <tableStyleInfo name="TableStyleLight4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00000000-000C-0000-FFFF-FFFF2B000000}" name="Criteria_Summary13.2.44" displayName="Criteria_Summary13.2.44" ref="A7:E9" totalsRowCount="1" totalsRowCellStyle="styleRegular">
  <autoFilter ref="A7:E8" xr:uid="{00000000-0009-0000-0100-00002C000000}"/>
  <tableColumns count="5">
    <tableColumn id="1" xr3:uid="{00000000-0010-0000-2B00-000001000000}" name="Item"/>
    <tableColumn id="2" xr3:uid="{00000000-0010-0000-2B00-000002000000}" name="Tipo"/>
    <tableColumn id="3" xr3:uid="{00000000-0010-0000-2B00-000003000000}" name="Elementos" totalsRowFunction="sum"/>
    <tableColumn id="4" xr3:uid="{00000000-0010-0000-2B00-000004000000}" name="Nome do Subcritério"/>
    <tableColumn id="5" xr3:uid="{00000000-0010-0000-2B00-000005000000}" name="Total" totalsRowFunction="sum"/>
  </tableColumns>
  <tableStyleInfo name="TableStyleLight4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00000000-000C-0000-FFFF-FFFF2C000000}" name="Criteria_Summary13.2.45" displayName="Criteria_Summary13.2.45" ref="A7:E9" totalsRowCount="1" totalsRowCellStyle="styleRegular">
  <autoFilter ref="A7:E8" xr:uid="{00000000-0009-0000-0100-00002D000000}"/>
  <tableColumns count="5">
    <tableColumn id="1" xr3:uid="{00000000-0010-0000-2C00-000001000000}" name="Item"/>
    <tableColumn id="2" xr3:uid="{00000000-0010-0000-2C00-000002000000}" name="Tipo"/>
    <tableColumn id="3" xr3:uid="{00000000-0010-0000-2C00-000003000000}" name="Elementos" totalsRowFunction="sum"/>
    <tableColumn id="4" xr3:uid="{00000000-0010-0000-2C00-000004000000}" name="Nome do Subcritério"/>
    <tableColumn id="5" xr3:uid="{00000000-0010-0000-2C00-000005000000}" name="Total" totalsRowFunction="sum"/>
  </tableColumns>
  <tableStyleInfo name="TableStyleLight4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00000000-000C-0000-FFFF-FFFF2D000000}" name="Criteria_Summary13.2.46" displayName="Criteria_Summary13.2.46" ref="A7:E9" totalsRowCount="1" totalsRowCellStyle="styleRegular">
  <autoFilter ref="A7:E8" xr:uid="{00000000-0009-0000-0100-00002E000000}"/>
  <tableColumns count="5">
    <tableColumn id="1" xr3:uid="{00000000-0010-0000-2D00-000001000000}" name="Item"/>
    <tableColumn id="2" xr3:uid="{00000000-0010-0000-2D00-000002000000}" name="Tipo"/>
    <tableColumn id="3" xr3:uid="{00000000-0010-0000-2D00-000003000000}" name="Elementos" totalsRowFunction="sum"/>
    <tableColumn id="4" xr3:uid="{00000000-0010-0000-2D00-000004000000}" name="Nome do Subcritério"/>
    <tableColumn id="5" xr3:uid="{00000000-0010-0000-2D00-000005000000}" name="Total" totalsRowFunction="sum"/>
  </tableColumns>
  <tableStyleInfo name="TableStyleLight4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00000000-000C-0000-FFFF-FFFF2E000000}" name="Criteria_Summary13.2.47" displayName="Criteria_Summary13.2.47" ref="A7:E9" totalsRowCount="1" totalsRowCellStyle="styleRegular">
  <autoFilter ref="A7:E8" xr:uid="{00000000-0009-0000-0100-00002F000000}"/>
  <tableColumns count="5">
    <tableColumn id="1" xr3:uid="{00000000-0010-0000-2E00-000001000000}" name="Item"/>
    <tableColumn id="2" xr3:uid="{00000000-0010-0000-2E00-000002000000}" name="Tipo"/>
    <tableColumn id="3" xr3:uid="{00000000-0010-0000-2E00-000003000000}" name="Elementos" totalsRowFunction="sum"/>
    <tableColumn id="4" xr3:uid="{00000000-0010-0000-2E00-000004000000}" name="Nome do Subcritério"/>
    <tableColumn id="5" xr3:uid="{00000000-0010-0000-2E00-000005000000}" name="Total" totalsRowFunction="sum"/>
  </tableColumns>
  <tableStyleInfo name="TableStyleLight4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00000000-000C-0000-FFFF-FFFF2F000000}" name="Criteria_Summary13.2.48" displayName="Criteria_Summary13.2.48" ref="A7:E9" totalsRowCount="1" totalsRowCellStyle="styleRegular">
  <autoFilter ref="A7:E8" xr:uid="{00000000-0009-0000-0100-000030000000}"/>
  <tableColumns count="5">
    <tableColumn id="1" xr3:uid="{00000000-0010-0000-2F00-000001000000}" name="Item"/>
    <tableColumn id="2" xr3:uid="{00000000-0010-0000-2F00-000002000000}" name="Tipo"/>
    <tableColumn id="3" xr3:uid="{00000000-0010-0000-2F00-000003000000}" name="Elementos" totalsRowFunction="sum"/>
    <tableColumn id="4" xr3:uid="{00000000-0010-0000-2F00-000004000000}" name="Nome do Subcritério"/>
    <tableColumn id="5" xr3:uid="{00000000-0010-0000-2F00-000005000000}" name="Total" totalsRowFunction="sum"/>
  </tableColumns>
  <tableStyleInfo name="TableStyleLight4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00000000-000C-0000-FFFF-FFFF30000000}" name="Elements13_2_11" displayName="Elements13_2_11" ref="A6:E22" totalsRowCount="1" totalsRowCellStyle="styleRegular">
  <autoFilter ref="A6:E21" xr:uid="{00000000-0009-0000-0100-000031000000}"/>
  <tableColumns count="5">
    <tableColumn id="1" xr3:uid="{00000000-0010-0000-3000-000001000000}" name="Projeto"/>
    <tableColumn id="2" xr3:uid="{00000000-0010-0000-3000-000002000000}" name="Vínculo"/>
    <tableColumn id="3" xr3:uid="{00000000-0010-0000-3000-000003000000}" name="Elemento" totalsRowFunction="count"/>
    <tableColumn id="4" xr3:uid="{00000000-0010-0000-3000-000004000000}" name="Id do Revit"/>
    <tableColumn id="5" xr3:uid="{00000000-0010-0000-3000-000005000000}" name="Totais:" totalsRowFunction="sum"/>
  </tableColumns>
  <tableStyleInfo name="TableStyleLight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Criteria_Summary13.2.5" displayName="Criteria_Summary13.2.5" ref="A7:E9" totalsRowCount="1" totalsRowCellStyle="styleRegular">
  <autoFilter ref="A7:E8" xr:uid="{00000000-0009-0000-0100-000005000000}"/>
  <tableColumns count="5">
    <tableColumn id="1" xr3:uid="{00000000-0010-0000-0400-000001000000}" name="Item"/>
    <tableColumn id="2" xr3:uid="{00000000-0010-0000-0400-000002000000}" name="Tipo"/>
    <tableColumn id="3" xr3:uid="{00000000-0010-0000-0400-000003000000}" name="Elementos" totalsRowFunction="sum"/>
    <tableColumn id="4" xr3:uid="{00000000-0010-0000-0400-000004000000}" name="Nome do Subcritério"/>
    <tableColumn id="5" xr3:uid="{00000000-0010-0000-0400-000005000000}" name="Total" totalsRowFunction="sum"/>
  </tableColumns>
  <tableStyleInfo name="TableStyleLight4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00000000-000C-0000-FFFF-FFFF31000000}" name="Elements13_2_21" displayName="Elements13_2_21" ref="A6:E9" totalsRowCount="1" totalsRowCellStyle="styleRegular">
  <autoFilter ref="A6:E8" xr:uid="{00000000-0009-0000-0100-000032000000}"/>
  <tableColumns count="5">
    <tableColumn id="1" xr3:uid="{00000000-0010-0000-3100-000001000000}" name="Projeto"/>
    <tableColumn id="2" xr3:uid="{00000000-0010-0000-3100-000002000000}" name="Vínculo"/>
    <tableColumn id="3" xr3:uid="{00000000-0010-0000-3100-000003000000}" name="Elemento" totalsRowFunction="count"/>
    <tableColumn id="4" xr3:uid="{00000000-0010-0000-3100-000004000000}" name="Id do Revit"/>
    <tableColumn id="5" xr3:uid="{00000000-0010-0000-3100-000005000000}" name="Totais:" totalsRowFunction="sum"/>
  </tableColumns>
  <tableStyleInfo name="TableStyleLight4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00000000-000C-0000-FFFF-FFFF32000000}" name="Elements13_2_31" displayName="Elements13_2_31" ref="A6:E8" totalsRowCount="1" totalsRowCellStyle="styleRegular">
  <autoFilter ref="A6:E7" xr:uid="{00000000-0009-0000-0100-000033000000}"/>
  <tableColumns count="5">
    <tableColumn id="1" xr3:uid="{00000000-0010-0000-3200-000001000000}" name="Projeto"/>
    <tableColumn id="2" xr3:uid="{00000000-0010-0000-3200-000002000000}" name="Vínculo"/>
    <tableColumn id="3" xr3:uid="{00000000-0010-0000-3200-000003000000}" name="Elemento" totalsRowFunction="count"/>
    <tableColumn id="4" xr3:uid="{00000000-0010-0000-3200-000004000000}" name="Id do Revit"/>
    <tableColumn id="5" xr3:uid="{00000000-0010-0000-3200-000005000000}" name="Totais:" totalsRowFunction="sum"/>
  </tableColumns>
  <tableStyleInfo name="TableStyleLight4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00000000-000C-0000-FFFF-FFFF33000000}" name="Elements13_2_41" displayName="Elements13_2_41" ref="A6:E24" totalsRowCount="1" totalsRowCellStyle="styleRegular">
  <autoFilter ref="A6:E23" xr:uid="{00000000-0009-0000-0100-000034000000}"/>
  <tableColumns count="5">
    <tableColumn id="1" xr3:uid="{00000000-0010-0000-3300-000001000000}" name="Projeto"/>
    <tableColumn id="2" xr3:uid="{00000000-0010-0000-3300-000002000000}" name="Vínculo"/>
    <tableColumn id="3" xr3:uid="{00000000-0010-0000-3300-000003000000}" name="Elemento" totalsRowFunction="count"/>
    <tableColumn id="4" xr3:uid="{00000000-0010-0000-3300-000004000000}" name="Id do Revit"/>
    <tableColumn id="5" xr3:uid="{00000000-0010-0000-3300-000005000000}" name="Totais:" totalsRowFunction="sum"/>
  </tableColumns>
  <tableStyleInfo name="TableStyleLight4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00000000-000C-0000-FFFF-FFFF34000000}" name="Elements13_2_51" displayName="Elements13_2_51" ref="A6:E19" totalsRowCount="1" totalsRowCellStyle="styleRegular">
  <autoFilter ref="A6:E18" xr:uid="{00000000-0009-0000-0100-000035000000}"/>
  <tableColumns count="5">
    <tableColumn id="1" xr3:uid="{00000000-0010-0000-3400-000001000000}" name="Projeto"/>
    <tableColumn id="2" xr3:uid="{00000000-0010-0000-3400-000002000000}" name="Vínculo"/>
    <tableColumn id="3" xr3:uid="{00000000-0010-0000-3400-000003000000}" name="Elemento" totalsRowFunction="count"/>
    <tableColumn id="4" xr3:uid="{00000000-0010-0000-3400-000004000000}" name="Id do Revit"/>
    <tableColumn id="5" xr3:uid="{00000000-0010-0000-3400-000005000000}" name="Totais:" totalsRowFunction="sum"/>
  </tableColumns>
  <tableStyleInfo name="TableStyleLight4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00000000-000C-0000-FFFF-FFFF35000000}" name="Elements13_2_61" displayName="Elements13_2_61" ref="A6:E229" totalsRowCount="1" totalsRowCellStyle="styleRegular">
  <autoFilter ref="A6:E228" xr:uid="{00000000-0009-0000-0100-000036000000}"/>
  <tableColumns count="5">
    <tableColumn id="1" xr3:uid="{00000000-0010-0000-3500-000001000000}" name="Projeto"/>
    <tableColumn id="2" xr3:uid="{00000000-0010-0000-3500-000002000000}" name="Vínculo"/>
    <tableColumn id="3" xr3:uid="{00000000-0010-0000-3500-000003000000}" name="Elemento" totalsRowFunction="count"/>
    <tableColumn id="4" xr3:uid="{00000000-0010-0000-3500-000004000000}" name="Id do Revit"/>
    <tableColumn id="5" xr3:uid="{00000000-0010-0000-3500-000005000000}" name="Totais:" totalsRowFunction="sum"/>
  </tableColumns>
  <tableStyleInfo name="TableStyleLight4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00000000-000C-0000-FFFF-FFFF36000000}" name="Elements13_2_71" displayName="Elements13_2_71" ref="A6:E8" totalsRowCount="1" totalsRowCellStyle="styleRegular">
  <autoFilter ref="A6:E7" xr:uid="{00000000-0009-0000-0100-000037000000}"/>
  <tableColumns count="5">
    <tableColumn id="1" xr3:uid="{00000000-0010-0000-3600-000001000000}" name="Projeto"/>
    <tableColumn id="2" xr3:uid="{00000000-0010-0000-3600-000002000000}" name="Vínculo"/>
    <tableColumn id="3" xr3:uid="{00000000-0010-0000-3600-000003000000}" name="Elemento" totalsRowFunction="count"/>
    <tableColumn id="4" xr3:uid="{00000000-0010-0000-3600-000004000000}" name="Id do Revit"/>
    <tableColumn id="5" xr3:uid="{00000000-0010-0000-3600-000005000000}" name="Totais:" totalsRowFunction="sum"/>
  </tableColumns>
  <tableStyleInfo name="TableStyleLight4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00000000-000C-0000-FFFF-FFFF37000000}" name="Elements13_2_81" displayName="Elements13_2_81" ref="A6:E53" totalsRowCount="1" totalsRowCellStyle="styleRegular">
  <autoFilter ref="A6:E52" xr:uid="{00000000-0009-0000-0100-000038000000}"/>
  <tableColumns count="5">
    <tableColumn id="1" xr3:uid="{00000000-0010-0000-3700-000001000000}" name="Projeto"/>
    <tableColumn id="2" xr3:uid="{00000000-0010-0000-3700-000002000000}" name="Vínculo"/>
    <tableColumn id="3" xr3:uid="{00000000-0010-0000-3700-000003000000}" name="Elemento" totalsRowFunction="count"/>
    <tableColumn id="4" xr3:uid="{00000000-0010-0000-3700-000004000000}" name="Id do Revit"/>
    <tableColumn id="5" xr3:uid="{00000000-0010-0000-3700-000005000000}" name="Totais:" totalsRowFunction="sum"/>
  </tableColumns>
  <tableStyleInfo name="TableStyleLight4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00000000-000C-0000-FFFF-FFFF38000000}" name="Elements13_2_91" displayName="Elements13_2_91" ref="A6:E22" totalsRowCount="1" totalsRowCellStyle="styleRegular">
  <autoFilter ref="A6:E21" xr:uid="{00000000-0009-0000-0100-000039000000}"/>
  <tableColumns count="5">
    <tableColumn id="1" xr3:uid="{00000000-0010-0000-3800-000001000000}" name="Projeto"/>
    <tableColumn id="2" xr3:uid="{00000000-0010-0000-3800-000002000000}" name="Vínculo"/>
    <tableColumn id="3" xr3:uid="{00000000-0010-0000-3800-000003000000}" name="Elemento" totalsRowFunction="count"/>
    <tableColumn id="4" xr3:uid="{00000000-0010-0000-3800-000004000000}" name="Id do Revit"/>
    <tableColumn id="5" xr3:uid="{00000000-0010-0000-3800-000005000000}" name="Totais:" totalsRowFunction="sum"/>
  </tableColumns>
  <tableStyleInfo name="TableStyleLight4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00000000-000C-0000-FFFF-FFFF39000000}" name="Elements13_2_101" displayName="Elements13_2_101" ref="A6:E9" totalsRowCount="1" totalsRowCellStyle="styleRegular">
  <autoFilter ref="A6:E8" xr:uid="{00000000-0009-0000-0100-00003A000000}"/>
  <tableColumns count="5">
    <tableColumn id="1" xr3:uid="{00000000-0010-0000-3900-000001000000}" name="Projeto"/>
    <tableColumn id="2" xr3:uid="{00000000-0010-0000-3900-000002000000}" name="Vínculo"/>
    <tableColumn id="3" xr3:uid="{00000000-0010-0000-3900-000003000000}" name="Elemento" totalsRowFunction="count"/>
    <tableColumn id="4" xr3:uid="{00000000-0010-0000-3900-000004000000}" name="Id do Revit"/>
    <tableColumn id="5" xr3:uid="{00000000-0010-0000-3900-000005000000}" name="Totais:" totalsRowFunction="sum"/>
  </tableColumns>
  <tableStyleInfo name="TableStyleLight4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00000000-000C-0000-FFFF-FFFF3A000000}" name="Elements13_2_111" displayName="Elements13_2_111" ref="A6:E19" totalsRowCount="1" totalsRowCellStyle="styleRegular">
  <autoFilter ref="A6:E18" xr:uid="{00000000-0009-0000-0100-00003B000000}"/>
  <tableColumns count="5">
    <tableColumn id="1" xr3:uid="{00000000-0010-0000-3A00-000001000000}" name="Projeto"/>
    <tableColumn id="2" xr3:uid="{00000000-0010-0000-3A00-000002000000}" name="Vínculo"/>
    <tableColumn id="3" xr3:uid="{00000000-0010-0000-3A00-000003000000}" name="Elemento" totalsRowFunction="count"/>
    <tableColumn id="4" xr3:uid="{00000000-0010-0000-3A00-000004000000}" name="Id do Revit"/>
    <tableColumn id="5" xr3:uid="{00000000-0010-0000-3A00-000005000000}" name="Totais:" totalsRowFunction="sum"/>
  </tableColumns>
  <tableStyleInfo name="TableStyleLight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Criteria_Summary13.2.6" displayName="Criteria_Summary13.2.6" ref="A7:E9" totalsRowCount="1" totalsRowCellStyle="styleRegular">
  <autoFilter ref="A7:E8" xr:uid="{00000000-0009-0000-0100-000006000000}"/>
  <tableColumns count="5">
    <tableColumn id="1" xr3:uid="{00000000-0010-0000-0500-000001000000}" name="Item"/>
    <tableColumn id="2" xr3:uid="{00000000-0010-0000-0500-000002000000}" name="Tipo"/>
    <tableColumn id="3" xr3:uid="{00000000-0010-0000-0500-000003000000}" name="Elementos" totalsRowFunction="sum"/>
    <tableColumn id="4" xr3:uid="{00000000-0010-0000-0500-000004000000}" name="Nome do Subcritério"/>
    <tableColumn id="5" xr3:uid="{00000000-0010-0000-0500-000005000000}" name="Total" totalsRowFunction="sum"/>
  </tableColumns>
  <tableStyleInfo name="TableStyleLight4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00000000-000C-0000-FFFF-FFFF3B000000}" name="Elements13_2_112" displayName="Elements13_2_112" ref="A27:E32" totalsRowCount="1" totalsRowCellStyle="styleRegular">
  <autoFilter ref="A27:E31" xr:uid="{00000000-0009-0000-0100-00003C000000}"/>
  <tableColumns count="5">
    <tableColumn id="1" xr3:uid="{00000000-0010-0000-3B00-000001000000}" name="Projeto"/>
    <tableColumn id="2" xr3:uid="{00000000-0010-0000-3B00-000002000000}" name="Vínculo"/>
    <tableColumn id="3" xr3:uid="{00000000-0010-0000-3B00-000003000000}" name="Elemento" totalsRowFunction="count"/>
    <tableColumn id="4" xr3:uid="{00000000-0010-0000-3B00-000004000000}" name="Id do Revit"/>
    <tableColumn id="5" xr3:uid="{00000000-0010-0000-3B00-000005000000}" name="Totais:" totalsRowFunction="sum"/>
  </tableColumns>
  <tableStyleInfo name="TableStyleLight4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00000000-000C-0000-FFFF-FFFF3C000000}" name="Elements13_2_121" displayName="Elements13_2_121" ref="A6:E13" totalsRowCount="1" totalsRowCellStyle="styleRegular">
  <autoFilter ref="A6:E12" xr:uid="{00000000-0009-0000-0100-00003D000000}"/>
  <tableColumns count="5">
    <tableColumn id="1" xr3:uid="{00000000-0010-0000-3C00-000001000000}" name="Projeto"/>
    <tableColumn id="2" xr3:uid="{00000000-0010-0000-3C00-000002000000}" name="Vínculo"/>
    <tableColumn id="3" xr3:uid="{00000000-0010-0000-3C00-000003000000}" name="Elemento" totalsRowFunction="count"/>
    <tableColumn id="4" xr3:uid="{00000000-0010-0000-3C00-000004000000}" name="Id do Revit"/>
    <tableColumn id="5" xr3:uid="{00000000-0010-0000-3C00-000005000000}" name="Totais:" totalsRowFunction="sum"/>
  </tableColumns>
  <tableStyleInfo name="TableStyleLight4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00000000-000C-0000-FFFF-FFFF3D000000}" name="Elements13_2_122" displayName="Elements13_2_122" ref="A21:E26" totalsRowCount="1" totalsRowCellStyle="styleRegular">
  <autoFilter ref="A21:E25" xr:uid="{00000000-0009-0000-0100-00003E000000}"/>
  <tableColumns count="5">
    <tableColumn id="1" xr3:uid="{00000000-0010-0000-3D00-000001000000}" name="Projeto"/>
    <tableColumn id="2" xr3:uid="{00000000-0010-0000-3D00-000002000000}" name="Vínculo"/>
    <tableColumn id="3" xr3:uid="{00000000-0010-0000-3D00-000003000000}" name="Elemento" totalsRowFunction="count"/>
    <tableColumn id="4" xr3:uid="{00000000-0010-0000-3D00-000004000000}" name="Id do Revit"/>
    <tableColumn id="5" xr3:uid="{00000000-0010-0000-3D00-000005000000}" name="Totais:" totalsRowFunction="sum"/>
  </tableColumns>
  <tableStyleInfo name="TableStyleLight4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00000000-000C-0000-FFFF-FFFF3E000000}" name="Elements13_2_131" displayName="Elements13_2_131" ref="A6:E25" totalsRowCount="1" totalsRowCellStyle="styleRegular">
  <autoFilter ref="A6:E24" xr:uid="{00000000-0009-0000-0100-00003F000000}"/>
  <tableColumns count="5">
    <tableColumn id="1" xr3:uid="{00000000-0010-0000-3E00-000001000000}" name="Projeto"/>
    <tableColumn id="2" xr3:uid="{00000000-0010-0000-3E00-000002000000}" name="Vínculo"/>
    <tableColumn id="3" xr3:uid="{00000000-0010-0000-3E00-000003000000}" name="Elemento" totalsRowFunction="count"/>
    <tableColumn id="4" xr3:uid="{00000000-0010-0000-3E00-000004000000}" name="Id do Revit"/>
    <tableColumn id="5" xr3:uid="{00000000-0010-0000-3E00-000005000000}" name="Totais:" totalsRowFunction="sum"/>
  </tableColumns>
  <tableStyleInfo name="TableStyleLight4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00000000-000C-0000-FFFF-FFFF3F000000}" name="Elements13_2_141" displayName="Elements13_2_141" ref="A6:E41" totalsRowCount="1" totalsRowCellStyle="styleRegular">
  <autoFilter ref="A6:E40" xr:uid="{00000000-0009-0000-0100-000040000000}"/>
  <tableColumns count="5">
    <tableColumn id="1" xr3:uid="{00000000-0010-0000-3F00-000001000000}" name="Projeto"/>
    <tableColumn id="2" xr3:uid="{00000000-0010-0000-3F00-000002000000}" name="Vínculo"/>
    <tableColumn id="3" xr3:uid="{00000000-0010-0000-3F00-000003000000}" name="Elemento" totalsRowFunction="count"/>
    <tableColumn id="4" xr3:uid="{00000000-0010-0000-3F00-000004000000}" name="Id do Revit"/>
    <tableColumn id="5" xr3:uid="{00000000-0010-0000-3F00-000005000000}" name="Totais:" totalsRowFunction="sum"/>
  </tableColumns>
  <tableStyleInfo name="TableStyleLight4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00000000-000C-0000-FFFF-FFFF40000000}" name="Elements13_2_151" displayName="Elements13_2_151" ref="A6:E37" totalsRowCount="1" totalsRowCellStyle="styleRegular">
  <autoFilter ref="A6:E36" xr:uid="{00000000-0009-0000-0100-000041000000}"/>
  <tableColumns count="5">
    <tableColumn id="1" xr3:uid="{00000000-0010-0000-4000-000001000000}" name="Projeto"/>
    <tableColumn id="2" xr3:uid="{00000000-0010-0000-4000-000002000000}" name="Vínculo"/>
    <tableColumn id="3" xr3:uid="{00000000-0010-0000-4000-000003000000}" name="Elemento" totalsRowFunction="count"/>
    <tableColumn id="4" xr3:uid="{00000000-0010-0000-4000-000004000000}" name="Id do Revit"/>
    <tableColumn id="5" xr3:uid="{00000000-0010-0000-4000-000005000000}" name="Totais:" totalsRowFunction="sum"/>
  </tableColumns>
  <tableStyleInfo name="TableStyleLight4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00000000-000C-0000-FFFF-FFFF41000000}" name="Elements13_2_161" displayName="Elements13_2_161" ref="A6:E26" totalsRowCount="1" totalsRowCellStyle="styleRegular">
  <autoFilter ref="A6:E25" xr:uid="{00000000-0009-0000-0100-000042000000}"/>
  <tableColumns count="5">
    <tableColumn id="1" xr3:uid="{00000000-0010-0000-4100-000001000000}" name="Projeto"/>
    <tableColumn id="2" xr3:uid="{00000000-0010-0000-4100-000002000000}" name="Vínculo"/>
    <tableColumn id="3" xr3:uid="{00000000-0010-0000-4100-000003000000}" name="Elemento" totalsRowFunction="count"/>
    <tableColumn id="4" xr3:uid="{00000000-0010-0000-4100-000004000000}" name="Id do Revit"/>
    <tableColumn id="5" xr3:uid="{00000000-0010-0000-4100-000005000000}" name="Totais:" totalsRowFunction="sum"/>
  </tableColumns>
  <tableStyleInfo name="TableStyleLight4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00000000-000C-0000-FFFF-FFFF42000000}" name="Elements13_2_171" displayName="Elements13_2_171" ref="A6:E11" totalsRowCount="1" totalsRowCellStyle="styleRegular">
  <autoFilter ref="A6:E10" xr:uid="{00000000-0009-0000-0100-000043000000}"/>
  <tableColumns count="5">
    <tableColumn id="1" xr3:uid="{00000000-0010-0000-4200-000001000000}" name="Projeto"/>
    <tableColumn id="2" xr3:uid="{00000000-0010-0000-4200-000002000000}" name="Vínculo"/>
    <tableColumn id="3" xr3:uid="{00000000-0010-0000-4200-000003000000}" name="Elemento" totalsRowFunction="count"/>
    <tableColumn id="4" xr3:uid="{00000000-0010-0000-4200-000004000000}" name="Id do Revit"/>
    <tableColumn id="5" xr3:uid="{00000000-0010-0000-4200-000005000000}" name="Totais:" totalsRowFunction="sum"/>
  </tableColumns>
  <tableStyleInfo name="TableStyleLight4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00000000-000C-0000-FFFF-FFFF43000000}" name="Elements13_2_181" displayName="Elements13_2_181" ref="A6:E10" totalsRowCount="1" totalsRowCellStyle="styleRegular">
  <autoFilter ref="A6:E9" xr:uid="{00000000-0009-0000-0100-000044000000}"/>
  <tableColumns count="5">
    <tableColumn id="1" xr3:uid="{00000000-0010-0000-4300-000001000000}" name="Projeto"/>
    <tableColumn id="2" xr3:uid="{00000000-0010-0000-4300-000002000000}" name="Vínculo"/>
    <tableColumn id="3" xr3:uid="{00000000-0010-0000-4300-000003000000}" name="Elemento" totalsRowFunction="count"/>
    <tableColumn id="4" xr3:uid="{00000000-0010-0000-4300-000004000000}" name="Id do Revit"/>
    <tableColumn id="5" xr3:uid="{00000000-0010-0000-4300-000005000000}" name="Totais:" totalsRowFunction="sum"/>
  </tableColumns>
  <tableStyleInfo name="TableStyleLight4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00000000-000C-0000-FFFF-FFFF44000000}" name="Elements13_2_191" displayName="Elements13_2_191" ref="A6:E25" totalsRowCount="1" totalsRowCellStyle="styleRegular">
  <autoFilter ref="A6:E24" xr:uid="{00000000-0009-0000-0100-000045000000}"/>
  <tableColumns count="5">
    <tableColumn id="1" xr3:uid="{00000000-0010-0000-4400-000001000000}" name="Projeto"/>
    <tableColumn id="2" xr3:uid="{00000000-0010-0000-4400-000002000000}" name="Vínculo"/>
    <tableColumn id="3" xr3:uid="{00000000-0010-0000-4400-000003000000}" name="Elemento" totalsRowFunction="count"/>
    <tableColumn id="4" xr3:uid="{00000000-0010-0000-4400-000004000000}" name="Id do Revit"/>
    <tableColumn id="5" xr3:uid="{00000000-0010-0000-4400-000005000000}" name="Totais:" totalsRowFunction="sum"/>
  </tableColumns>
  <tableStyleInfo name="TableStyleLight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Criteria_Summary13.2.7" displayName="Criteria_Summary13.2.7" ref="A7:E9" totalsRowCount="1" totalsRowCellStyle="styleRegular">
  <autoFilter ref="A7:E8" xr:uid="{00000000-0009-0000-0100-000007000000}"/>
  <tableColumns count="5">
    <tableColumn id="1" xr3:uid="{00000000-0010-0000-0600-000001000000}" name="Item"/>
    <tableColumn id="2" xr3:uid="{00000000-0010-0000-0600-000002000000}" name="Tipo"/>
    <tableColumn id="3" xr3:uid="{00000000-0010-0000-0600-000003000000}" name="Elementos" totalsRowFunction="sum"/>
    <tableColumn id="4" xr3:uid="{00000000-0010-0000-0600-000004000000}" name="Nome do Subcritério"/>
    <tableColumn id="5" xr3:uid="{00000000-0010-0000-0600-000005000000}" name="Total" totalsRowFunction="sum"/>
  </tableColumns>
  <tableStyleInfo name="TableStyleLight4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00000000-000C-0000-FFFF-FFFF45000000}" name="Elements13_2_201" displayName="Elements13_2_201" ref="A6:E406" totalsRowCount="1" totalsRowCellStyle="styleRegular">
  <autoFilter ref="A6:E405" xr:uid="{00000000-0009-0000-0100-000046000000}"/>
  <tableColumns count="5">
    <tableColumn id="1" xr3:uid="{00000000-0010-0000-4500-000001000000}" name="Projeto"/>
    <tableColumn id="2" xr3:uid="{00000000-0010-0000-4500-000002000000}" name="Vínculo"/>
    <tableColumn id="3" xr3:uid="{00000000-0010-0000-4500-000003000000}" name="Elemento" totalsRowFunction="count"/>
    <tableColumn id="4" xr3:uid="{00000000-0010-0000-4500-000004000000}" name="Id do Revit"/>
    <tableColumn id="5" xr3:uid="{00000000-0010-0000-4500-000005000000}" name="Totais:" totalsRowFunction="sum"/>
  </tableColumns>
  <tableStyleInfo name="TableStyleLight4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00000000-000C-0000-FFFF-FFFF46000000}" name="Elements13_2_211" displayName="Elements13_2_211" ref="A6:E30" totalsRowCount="1" totalsRowCellStyle="styleRegular">
  <autoFilter ref="A6:E29" xr:uid="{00000000-0009-0000-0100-000047000000}"/>
  <tableColumns count="5">
    <tableColumn id="1" xr3:uid="{00000000-0010-0000-4600-000001000000}" name="Projeto"/>
    <tableColumn id="2" xr3:uid="{00000000-0010-0000-4600-000002000000}" name="Vínculo"/>
    <tableColumn id="3" xr3:uid="{00000000-0010-0000-4600-000003000000}" name="Elemento" totalsRowFunction="count"/>
    <tableColumn id="4" xr3:uid="{00000000-0010-0000-4600-000004000000}" name="Id do Revit"/>
    <tableColumn id="5" xr3:uid="{00000000-0010-0000-4600-000005000000}" name="Totais:" totalsRowFunction="sum"/>
  </tableColumns>
  <tableStyleInfo name="TableStyleLight4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00000000-000C-0000-FFFF-FFFF47000000}" name="Elements13_2_221" displayName="Elements13_2_221" ref="A6:E137" totalsRowCount="1" totalsRowCellStyle="styleRegular">
  <autoFilter ref="A6:E136" xr:uid="{00000000-0009-0000-0100-000048000000}"/>
  <tableColumns count="5">
    <tableColumn id="1" xr3:uid="{00000000-0010-0000-4700-000001000000}" name="Projeto"/>
    <tableColumn id="2" xr3:uid="{00000000-0010-0000-4700-000002000000}" name="Vínculo"/>
    <tableColumn id="3" xr3:uid="{00000000-0010-0000-4700-000003000000}" name="Elemento" totalsRowFunction="count"/>
    <tableColumn id="4" xr3:uid="{00000000-0010-0000-4700-000004000000}" name="Id do Revit"/>
    <tableColumn id="5" xr3:uid="{00000000-0010-0000-4700-000005000000}" name="Totais:" totalsRowFunction="sum"/>
  </tableColumns>
  <tableStyleInfo name="TableStyleLight4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00000000-000C-0000-FFFF-FFFF48000000}" name="Elements13_2_231" displayName="Elements13_2_231" ref="A6:E193" totalsRowCount="1" totalsRowCellStyle="styleRegular">
  <autoFilter ref="A6:E192" xr:uid="{00000000-0009-0000-0100-000049000000}"/>
  <tableColumns count="5">
    <tableColumn id="1" xr3:uid="{00000000-0010-0000-4800-000001000000}" name="Projeto"/>
    <tableColumn id="2" xr3:uid="{00000000-0010-0000-4800-000002000000}" name="Vínculo"/>
    <tableColumn id="3" xr3:uid="{00000000-0010-0000-4800-000003000000}" name="Elemento" totalsRowFunction="count"/>
    <tableColumn id="4" xr3:uid="{00000000-0010-0000-4800-000004000000}" name="Id do Revit"/>
    <tableColumn id="5" xr3:uid="{00000000-0010-0000-4800-000005000000}" name="Totais:" totalsRowFunction="sum"/>
  </tableColumns>
  <tableStyleInfo name="TableStyleLight4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00000000-000C-0000-FFFF-FFFF49000000}" name="Elements13_2_241" displayName="Elements13_2_241" ref="A6:E25" totalsRowCount="1" totalsRowCellStyle="styleRegular">
  <autoFilter ref="A6:E24" xr:uid="{00000000-0009-0000-0100-00004A000000}"/>
  <tableColumns count="5">
    <tableColumn id="1" xr3:uid="{00000000-0010-0000-4900-000001000000}" name="Projeto"/>
    <tableColumn id="2" xr3:uid="{00000000-0010-0000-4900-000002000000}" name="Vínculo"/>
    <tableColumn id="3" xr3:uid="{00000000-0010-0000-4900-000003000000}" name="Elemento" totalsRowFunction="count"/>
    <tableColumn id="4" xr3:uid="{00000000-0010-0000-4900-000004000000}" name="Id do Revit"/>
    <tableColumn id="5" xr3:uid="{00000000-0010-0000-4900-000005000000}" name="Totais:" totalsRowFunction="sum"/>
  </tableColumns>
  <tableStyleInfo name="TableStyleLight4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00000000-000C-0000-FFFF-FFFF4A000000}" name="Elements13_2_251" displayName="Elements13_2_251" ref="A6:E10" totalsRowCount="1" totalsRowCellStyle="styleRegular">
  <autoFilter ref="A6:E9" xr:uid="{00000000-0009-0000-0100-00004B000000}"/>
  <tableColumns count="5">
    <tableColumn id="1" xr3:uid="{00000000-0010-0000-4A00-000001000000}" name="Projeto"/>
    <tableColumn id="2" xr3:uid="{00000000-0010-0000-4A00-000002000000}" name="Vínculo"/>
    <tableColumn id="3" xr3:uid="{00000000-0010-0000-4A00-000003000000}" name="Elemento" totalsRowFunction="count"/>
    <tableColumn id="4" xr3:uid="{00000000-0010-0000-4A00-000004000000}" name="Id do Revit"/>
    <tableColumn id="5" xr3:uid="{00000000-0010-0000-4A00-000005000000}" name="Totais:" totalsRowFunction="sum"/>
  </tableColumns>
  <tableStyleInfo name="TableStyleLight4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00000000-000C-0000-FFFF-FFFF4B000000}" name="Elements13_2_261" displayName="Elements13_2_261" ref="A6:E11" totalsRowCount="1" totalsRowCellStyle="styleRegular">
  <autoFilter ref="A6:E10" xr:uid="{00000000-0009-0000-0100-00004C000000}"/>
  <tableColumns count="5">
    <tableColumn id="1" xr3:uid="{00000000-0010-0000-4B00-000001000000}" name="Projeto"/>
    <tableColumn id="2" xr3:uid="{00000000-0010-0000-4B00-000002000000}" name="Vínculo"/>
    <tableColumn id="3" xr3:uid="{00000000-0010-0000-4B00-000003000000}" name="Elemento" totalsRowFunction="count"/>
    <tableColumn id="4" xr3:uid="{00000000-0010-0000-4B00-000004000000}" name="Id do Revit"/>
    <tableColumn id="5" xr3:uid="{00000000-0010-0000-4B00-000005000000}" name="Totais:" totalsRowFunction="sum"/>
  </tableColumns>
  <tableStyleInfo name="TableStyleLight4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00000000-000C-0000-FFFF-FFFF4C000000}" name="Elements13_2_271" displayName="Elements13_2_271" ref="A6:E13" totalsRowCount="1" totalsRowCellStyle="styleRegular">
  <autoFilter ref="A6:E12" xr:uid="{00000000-0009-0000-0100-00004D000000}"/>
  <tableColumns count="5">
    <tableColumn id="1" xr3:uid="{00000000-0010-0000-4C00-000001000000}" name="Projeto"/>
    <tableColumn id="2" xr3:uid="{00000000-0010-0000-4C00-000002000000}" name="Vínculo"/>
    <tableColumn id="3" xr3:uid="{00000000-0010-0000-4C00-000003000000}" name="Elemento" totalsRowFunction="count"/>
    <tableColumn id="4" xr3:uid="{00000000-0010-0000-4C00-000004000000}" name="Id do Revit"/>
    <tableColumn id="5" xr3:uid="{00000000-0010-0000-4C00-000005000000}" name="Totais:" totalsRowFunction="sum"/>
  </tableColumns>
  <tableStyleInfo name="TableStyleLight4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00000000-000C-0000-FFFF-FFFF4D000000}" name="Elements13_2_281" displayName="Elements13_2_281" ref="A6:E31" totalsRowCount="1" totalsRowCellStyle="styleRegular">
  <autoFilter ref="A6:E30" xr:uid="{00000000-0009-0000-0100-00004E000000}"/>
  <tableColumns count="5">
    <tableColumn id="1" xr3:uid="{00000000-0010-0000-4D00-000001000000}" name="Projeto"/>
    <tableColumn id="2" xr3:uid="{00000000-0010-0000-4D00-000002000000}" name="Vínculo"/>
    <tableColumn id="3" xr3:uid="{00000000-0010-0000-4D00-000003000000}" name="Elemento" totalsRowFunction="count"/>
    <tableColumn id="4" xr3:uid="{00000000-0010-0000-4D00-000004000000}" name="Id do Revit"/>
    <tableColumn id="5" xr3:uid="{00000000-0010-0000-4D00-000005000000}" name="Totais:" totalsRowFunction="sum"/>
  </tableColumns>
  <tableStyleInfo name="TableStyleLight4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00000000-000C-0000-FFFF-FFFF4E000000}" name="Elements13_2_291" displayName="Elements13_2_291" ref="A6:E13" totalsRowCount="1" totalsRowCellStyle="styleRegular">
  <autoFilter ref="A6:E12" xr:uid="{00000000-0009-0000-0100-00004F000000}"/>
  <tableColumns count="5">
    <tableColumn id="1" xr3:uid="{00000000-0010-0000-4E00-000001000000}" name="Projeto"/>
    <tableColumn id="2" xr3:uid="{00000000-0010-0000-4E00-000002000000}" name="Vínculo"/>
    <tableColumn id="3" xr3:uid="{00000000-0010-0000-4E00-000003000000}" name="Elemento" totalsRowFunction="count"/>
    <tableColumn id="4" xr3:uid="{00000000-0010-0000-4E00-000004000000}" name="Id do Revit"/>
    <tableColumn id="5" xr3:uid="{00000000-0010-0000-4E00-000005000000}" name="Totais:" totalsRowFunction="sum"/>
  </tableColumns>
  <tableStyleInfo name="TableStyleLight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Criteria_Summary13.2.8" displayName="Criteria_Summary13.2.8" ref="A7:E9" totalsRowCount="1" totalsRowCellStyle="styleRegular">
  <autoFilter ref="A7:E8" xr:uid="{00000000-0009-0000-0100-000008000000}"/>
  <tableColumns count="5">
    <tableColumn id="1" xr3:uid="{00000000-0010-0000-0700-000001000000}" name="Item"/>
    <tableColumn id="2" xr3:uid="{00000000-0010-0000-0700-000002000000}" name="Tipo"/>
    <tableColumn id="3" xr3:uid="{00000000-0010-0000-0700-000003000000}" name="Elementos" totalsRowFunction="sum"/>
    <tableColumn id="4" xr3:uid="{00000000-0010-0000-0700-000004000000}" name="Nome do Subcritério"/>
    <tableColumn id="5" xr3:uid="{00000000-0010-0000-0700-000005000000}" name="Total" totalsRowFunction="sum"/>
  </tableColumns>
  <tableStyleInfo name="TableStyleLight4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00000000-000C-0000-FFFF-FFFF4F000000}" name="Elements13_2_301" displayName="Elements13_2_301" ref="A6:E12" totalsRowCount="1" totalsRowCellStyle="styleRegular">
  <autoFilter ref="A6:E11" xr:uid="{00000000-0009-0000-0100-000050000000}"/>
  <tableColumns count="5">
    <tableColumn id="1" xr3:uid="{00000000-0010-0000-4F00-000001000000}" name="Projeto"/>
    <tableColumn id="2" xr3:uid="{00000000-0010-0000-4F00-000002000000}" name="Vínculo"/>
    <tableColumn id="3" xr3:uid="{00000000-0010-0000-4F00-000003000000}" name="Elemento" totalsRowFunction="count"/>
    <tableColumn id="4" xr3:uid="{00000000-0010-0000-4F00-000004000000}" name="Id do Revit"/>
    <tableColumn id="5" xr3:uid="{00000000-0010-0000-4F00-000005000000}" name="Totais:" totalsRowFunction="sum"/>
  </tableColumns>
  <tableStyleInfo name="TableStyleLight4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00000000-000C-0000-FFFF-FFFF50000000}" name="Elements13_2_311" displayName="Elements13_2_311" ref="A6:E19" totalsRowCount="1" totalsRowCellStyle="styleRegular">
  <autoFilter ref="A6:E18" xr:uid="{00000000-0009-0000-0100-000051000000}"/>
  <tableColumns count="5">
    <tableColumn id="1" xr3:uid="{00000000-0010-0000-5000-000001000000}" name="Projeto"/>
    <tableColumn id="2" xr3:uid="{00000000-0010-0000-5000-000002000000}" name="Vínculo"/>
    <tableColumn id="3" xr3:uid="{00000000-0010-0000-5000-000003000000}" name="Elemento" totalsRowFunction="count"/>
    <tableColumn id="4" xr3:uid="{00000000-0010-0000-5000-000004000000}" name="Id do Revit"/>
    <tableColumn id="5" xr3:uid="{00000000-0010-0000-5000-000005000000}" name="Totais:" totalsRowFunction="sum"/>
  </tableColumns>
  <tableStyleInfo name="TableStyleLight4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00000000-000C-0000-FFFF-FFFF51000000}" name="Elements13_2_321" displayName="Elements13_2_321" ref="A6:E229" totalsRowCount="1" totalsRowCellStyle="styleRegular">
  <autoFilter ref="A6:E228" xr:uid="{00000000-0009-0000-0100-000052000000}"/>
  <tableColumns count="5">
    <tableColumn id="1" xr3:uid="{00000000-0010-0000-5100-000001000000}" name="Projeto"/>
    <tableColumn id="2" xr3:uid="{00000000-0010-0000-5100-000002000000}" name="Vínculo"/>
    <tableColumn id="3" xr3:uid="{00000000-0010-0000-5100-000003000000}" name="Elemento" totalsRowFunction="count"/>
    <tableColumn id="4" xr3:uid="{00000000-0010-0000-5100-000004000000}" name="Id do Revit"/>
    <tableColumn id="5" xr3:uid="{00000000-0010-0000-5100-000005000000}" name="Totais:" totalsRowFunction="sum"/>
  </tableColumns>
  <tableStyleInfo name="TableStyleLight4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00000000-000C-0000-FFFF-FFFF52000000}" name="Elements13_2_331" displayName="Elements13_2_331" ref="A6:E11" totalsRowCount="1" totalsRowCellStyle="styleRegular">
  <autoFilter ref="A6:E10" xr:uid="{00000000-0009-0000-0100-000053000000}"/>
  <tableColumns count="5">
    <tableColumn id="1" xr3:uid="{00000000-0010-0000-5200-000001000000}" name="Projeto"/>
    <tableColumn id="2" xr3:uid="{00000000-0010-0000-5200-000002000000}" name="Vínculo"/>
    <tableColumn id="3" xr3:uid="{00000000-0010-0000-5200-000003000000}" name="Elemento" totalsRowFunction="count"/>
    <tableColumn id="4" xr3:uid="{00000000-0010-0000-5200-000004000000}" name="Id do Revit"/>
    <tableColumn id="5" xr3:uid="{00000000-0010-0000-5200-000005000000}" name="Totais:" totalsRowFunction="sum"/>
  </tableColumns>
  <tableStyleInfo name="TableStyleLight4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00000000-000C-0000-FFFF-FFFF53000000}" name="Elements13_2_341" displayName="Elements13_2_341" ref="A6:E144" totalsRowCount="1" totalsRowCellStyle="styleRegular">
  <autoFilter ref="A6:E143" xr:uid="{00000000-0009-0000-0100-000054000000}"/>
  <tableColumns count="5">
    <tableColumn id="1" xr3:uid="{00000000-0010-0000-5300-000001000000}" name="Projeto"/>
    <tableColumn id="2" xr3:uid="{00000000-0010-0000-5300-000002000000}" name="Vínculo"/>
    <tableColumn id="3" xr3:uid="{00000000-0010-0000-5300-000003000000}" name="Elemento" totalsRowFunction="count"/>
    <tableColumn id="4" xr3:uid="{00000000-0010-0000-5300-000004000000}" name="Id do Revit"/>
    <tableColumn id="5" xr3:uid="{00000000-0010-0000-5300-000005000000}" name="Totais:" totalsRowFunction="sum"/>
  </tableColumns>
  <tableStyleInfo name="TableStyleLight4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00000000-000C-0000-FFFF-FFFF54000000}" name="Elements13_2_351" displayName="Elements13_2_351" ref="A6:E55" totalsRowCount="1" totalsRowCellStyle="styleRegular">
  <autoFilter ref="A6:E54" xr:uid="{00000000-0009-0000-0100-000055000000}"/>
  <tableColumns count="5">
    <tableColumn id="1" xr3:uid="{00000000-0010-0000-5400-000001000000}" name="Projeto"/>
    <tableColumn id="2" xr3:uid="{00000000-0010-0000-5400-000002000000}" name="Vínculo"/>
    <tableColumn id="3" xr3:uid="{00000000-0010-0000-5400-000003000000}" name="Elemento" totalsRowFunction="count"/>
    <tableColumn id="4" xr3:uid="{00000000-0010-0000-5400-000004000000}" name="Id do Revit"/>
    <tableColumn id="5" xr3:uid="{00000000-0010-0000-5400-000005000000}" name="Totais:" totalsRowFunction="sum"/>
  </tableColumns>
  <tableStyleInfo name="TableStyleLight4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00000000-000C-0000-FFFF-FFFF55000000}" name="Elements13_2_361" displayName="Elements13_2_361" ref="A6:E31" totalsRowCount="1" totalsRowCellStyle="styleRegular">
  <autoFilter ref="A6:E30" xr:uid="{00000000-0009-0000-0100-000056000000}"/>
  <tableColumns count="5">
    <tableColumn id="1" xr3:uid="{00000000-0010-0000-5500-000001000000}" name="Projeto"/>
    <tableColumn id="2" xr3:uid="{00000000-0010-0000-5500-000002000000}" name="Vínculo"/>
    <tableColumn id="3" xr3:uid="{00000000-0010-0000-5500-000003000000}" name="Elemento" totalsRowFunction="count"/>
    <tableColumn id="4" xr3:uid="{00000000-0010-0000-5500-000004000000}" name="Id do Revit"/>
    <tableColumn id="5" xr3:uid="{00000000-0010-0000-5500-000005000000}" name="Totais:" totalsRowFunction="sum"/>
  </tableColumns>
  <tableStyleInfo name="TableStyleLight4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00000000-000C-0000-FFFF-FFFF56000000}" name="Elements13_2_371" displayName="Elements13_2_371" ref="A6:E18" totalsRowCount="1" totalsRowCellStyle="styleRegular">
  <autoFilter ref="A6:E17" xr:uid="{00000000-0009-0000-0100-000057000000}"/>
  <tableColumns count="5">
    <tableColumn id="1" xr3:uid="{00000000-0010-0000-5600-000001000000}" name="Projeto"/>
    <tableColumn id="2" xr3:uid="{00000000-0010-0000-5600-000002000000}" name="Vínculo"/>
    <tableColumn id="3" xr3:uid="{00000000-0010-0000-5600-000003000000}" name="Elemento" totalsRowFunction="count"/>
    <tableColumn id="4" xr3:uid="{00000000-0010-0000-5600-000004000000}" name="Id do Revit"/>
    <tableColumn id="5" xr3:uid="{00000000-0010-0000-5600-000005000000}" name="Totais:" totalsRowFunction="sum"/>
  </tableColumns>
  <tableStyleInfo name="TableStyleLight4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00000000-000C-0000-FFFF-FFFF57000000}" name="Elements13_2_381" displayName="Elements13_2_381" ref="A6:E24" totalsRowCount="1" totalsRowCellStyle="styleRegular">
  <autoFilter ref="A6:E23" xr:uid="{00000000-0009-0000-0100-000058000000}"/>
  <tableColumns count="5">
    <tableColumn id="1" xr3:uid="{00000000-0010-0000-5700-000001000000}" name="Projeto"/>
    <tableColumn id="2" xr3:uid="{00000000-0010-0000-5700-000002000000}" name="Vínculo"/>
    <tableColumn id="3" xr3:uid="{00000000-0010-0000-5700-000003000000}" name="Elemento" totalsRowFunction="count"/>
    <tableColumn id="4" xr3:uid="{00000000-0010-0000-5700-000004000000}" name="Id do Revit"/>
    <tableColumn id="5" xr3:uid="{00000000-0010-0000-5700-000005000000}" name="Totais:" totalsRowFunction="sum"/>
  </tableColumns>
  <tableStyleInfo name="TableStyleLight4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00000000-000C-0000-FFFF-FFFF58000000}" name="Elements13_2_391" displayName="Elements13_2_391" ref="A6:E9" totalsRowCount="1" totalsRowCellStyle="styleRegular">
  <autoFilter ref="A6:E8" xr:uid="{00000000-0009-0000-0100-000059000000}"/>
  <tableColumns count="5">
    <tableColumn id="1" xr3:uid="{00000000-0010-0000-5800-000001000000}" name="Projeto"/>
    <tableColumn id="2" xr3:uid="{00000000-0010-0000-5800-000002000000}" name="Vínculo"/>
    <tableColumn id="3" xr3:uid="{00000000-0010-0000-5800-000003000000}" name="Elemento" totalsRowFunction="count"/>
    <tableColumn id="4" xr3:uid="{00000000-0010-0000-5800-000004000000}" name="Id do Revit"/>
    <tableColumn id="5" xr3:uid="{00000000-0010-0000-5800-000005000000}" name="Totais:" totalsRowFunction="sum"/>
  </tableColumns>
  <tableStyleInfo name="TableStyleLight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Criteria_Summary13.2.9" displayName="Criteria_Summary13.2.9" ref="A7:E9" totalsRowCount="1" totalsRowCellStyle="styleRegular">
  <autoFilter ref="A7:E8" xr:uid="{00000000-0009-0000-0100-000009000000}"/>
  <tableColumns count="5">
    <tableColumn id="1" xr3:uid="{00000000-0010-0000-0800-000001000000}" name="Item"/>
    <tableColumn id="2" xr3:uid="{00000000-0010-0000-0800-000002000000}" name="Tipo"/>
    <tableColumn id="3" xr3:uid="{00000000-0010-0000-0800-000003000000}" name="Elementos" totalsRowFunction="sum"/>
    <tableColumn id="4" xr3:uid="{00000000-0010-0000-0800-000004000000}" name="Nome do Subcritério"/>
    <tableColumn id="5" xr3:uid="{00000000-0010-0000-0800-000005000000}" name="Total" totalsRowFunction="sum"/>
  </tableColumns>
  <tableStyleInfo name="TableStyleLight4" showFirstColumn="0" showLastColumn="0" showRowStripes="1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00000000-000C-0000-FFFF-FFFF59000000}" name="Elements13_2_401" displayName="Elements13_2_401" ref="A6:E20" totalsRowCount="1" totalsRowCellStyle="styleRegular">
  <autoFilter ref="A6:E19" xr:uid="{00000000-0009-0000-0100-00005A000000}"/>
  <tableColumns count="5">
    <tableColumn id="1" xr3:uid="{00000000-0010-0000-5900-000001000000}" name="Projeto"/>
    <tableColumn id="2" xr3:uid="{00000000-0010-0000-5900-000002000000}" name="Vínculo"/>
    <tableColumn id="3" xr3:uid="{00000000-0010-0000-5900-000003000000}" name="Elemento" totalsRowFunction="count"/>
    <tableColumn id="4" xr3:uid="{00000000-0010-0000-5900-000004000000}" name="Id do Revit"/>
    <tableColumn id="5" xr3:uid="{00000000-0010-0000-5900-000005000000}" name="Totais:" totalsRowFunction="sum"/>
  </tableColumns>
  <tableStyleInfo name="TableStyleLight4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00000000-000C-0000-FFFF-FFFF5A000000}" name="Elements13_2_411" displayName="Elements13_2_411" ref="A6:E79" totalsRowCount="1" totalsRowCellStyle="styleRegular">
  <autoFilter ref="A6:E78" xr:uid="{00000000-0009-0000-0100-00005B000000}"/>
  <tableColumns count="5">
    <tableColumn id="1" xr3:uid="{00000000-0010-0000-5A00-000001000000}" name="Projeto"/>
    <tableColumn id="2" xr3:uid="{00000000-0010-0000-5A00-000002000000}" name="Vínculo"/>
    <tableColumn id="3" xr3:uid="{00000000-0010-0000-5A00-000003000000}" name="Elemento" totalsRowFunction="count"/>
    <tableColumn id="4" xr3:uid="{00000000-0010-0000-5A00-000004000000}" name="Id do Revit"/>
    <tableColumn id="5" xr3:uid="{00000000-0010-0000-5A00-000005000000}" name="Totais:" totalsRowFunction="sum"/>
  </tableColumns>
  <tableStyleInfo name="TableStyleLight4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00000000-000C-0000-FFFF-FFFF5B000000}" name="Elements13_2_421" displayName="Elements13_2_421" ref="A6:E15" totalsRowCount="1" totalsRowCellStyle="styleRegular">
  <autoFilter ref="A6:E14" xr:uid="{00000000-0009-0000-0100-00005C000000}"/>
  <tableColumns count="5">
    <tableColumn id="1" xr3:uid="{00000000-0010-0000-5B00-000001000000}" name="Projeto"/>
    <tableColumn id="2" xr3:uid="{00000000-0010-0000-5B00-000002000000}" name="Vínculo"/>
    <tableColumn id="3" xr3:uid="{00000000-0010-0000-5B00-000003000000}" name="Elemento" totalsRowFunction="count"/>
    <tableColumn id="4" xr3:uid="{00000000-0010-0000-5B00-000004000000}" name="Id do Revit"/>
    <tableColumn id="5" xr3:uid="{00000000-0010-0000-5B00-000005000000}" name="Totais:" totalsRowFunction="sum"/>
  </tableColumns>
  <tableStyleInfo name="TableStyleLight4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00000000-000C-0000-FFFF-FFFF5C000000}" name="Elements13_2_431" displayName="Elements13_2_431" ref="A6:E29" totalsRowCount="1" totalsRowCellStyle="styleRegular">
  <autoFilter ref="A6:E28" xr:uid="{00000000-0009-0000-0100-00005D000000}"/>
  <tableColumns count="5">
    <tableColumn id="1" xr3:uid="{00000000-0010-0000-5C00-000001000000}" name="Projeto"/>
    <tableColumn id="2" xr3:uid="{00000000-0010-0000-5C00-000002000000}" name="Vínculo"/>
    <tableColumn id="3" xr3:uid="{00000000-0010-0000-5C00-000003000000}" name="Elemento" totalsRowFunction="count"/>
    <tableColumn id="4" xr3:uid="{00000000-0010-0000-5C00-000004000000}" name="Id do Revit"/>
    <tableColumn id="5" xr3:uid="{00000000-0010-0000-5C00-000005000000}" name="Totais:" totalsRowFunction="sum"/>
  </tableColumns>
  <tableStyleInfo name="TableStyleLight4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00000000-000C-0000-FFFF-FFFF5D000000}" name="Elements13_2_441" displayName="Elements13_2_441" ref="A6:E9" totalsRowCount="1" totalsRowCellStyle="styleRegular">
  <autoFilter ref="A6:E8" xr:uid="{00000000-0009-0000-0100-00005E000000}"/>
  <tableColumns count="5">
    <tableColumn id="1" xr3:uid="{00000000-0010-0000-5D00-000001000000}" name="Projeto"/>
    <tableColumn id="2" xr3:uid="{00000000-0010-0000-5D00-000002000000}" name="Vínculo"/>
    <tableColumn id="3" xr3:uid="{00000000-0010-0000-5D00-000003000000}" name="Elemento" totalsRowFunction="count"/>
    <tableColumn id="4" xr3:uid="{00000000-0010-0000-5D00-000004000000}" name="Id do Revit"/>
    <tableColumn id="5" xr3:uid="{00000000-0010-0000-5D00-000005000000}" name="Totais:" totalsRowFunction="sum"/>
  </tableColumns>
  <tableStyleInfo name="TableStyleLight4" showFirstColumn="0" showLastColumn="0" showRowStripes="1" showColumnStripes="0"/>
</table>
</file>

<file path=xl/tables/table9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00000000-000C-0000-FFFF-FFFF5E000000}" name="Elements13_2_451" displayName="Elements13_2_451" ref="A6:E11" totalsRowCount="1" totalsRowCellStyle="styleRegular">
  <autoFilter ref="A6:E10" xr:uid="{00000000-0009-0000-0100-00005F000000}"/>
  <tableColumns count="5">
    <tableColumn id="1" xr3:uid="{00000000-0010-0000-5E00-000001000000}" name="Projeto"/>
    <tableColumn id="2" xr3:uid="{00000000-0010-0000-5E00-000002000000}" name="Vínculo"/>
    <tableColumn id="3" xr3:uid="{00000000-0010-0000-5E00-000003000000}" name="Elemento" totalsRowFunction="count"/>
    <tableColumn id="4" xr3:uid="{00000000-0010-0000-5E00-000004000000}" name="Id do Revit"/>
    <tableColumn id="5" xr3:uid="{00000000-0010-0000-5E00-000005000000}" name="Totais:" totalsRowFunction="sum"/>
  </tableColumns>
  <tableStyleInfo name="TableStyleLight4" showFirstColumn="0" showLastColumn="0" showRowStripes="1" showColumnStripes="0"/>
</table>
</file>

<file path=xl/tables/table9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00000000-000C-0000-FFFF-FFFF5F000000}" name="Elements13_2_461" displayName="Elements13_2_461" ref="A6:E21" totalsRowCount="1" totalsRowCellStyle="styleRegular">
  <autoFilter ref="A6:E20" xr:uid="{00000000-0009-0000-0100-000060000000}"/>
  <tableColumns count="5">
    <tableColumn id="1" xr3:uid="{00000000-0010-0000-5F00-000001000000}" name="Projeto"/>
    <tableColumn id="2" xr3:uid="{00000000-0010-0000-5F00-000002000000}" name="Vínculo"/>
    <tableColumn id="3" xr3:uid="{00000000-0010-0000-5F00-000003000000}" name="Elemento" totalsRowFunction="count"/>
    <tableColumn id="4" xr3:uid="{00000000-0010-0000-5F00-000004000000}" name="Id do Revit"/>
    <tableColumn id="5" xr3:uid="{00000000-0010-0000-5F00-000005000000}" name="Totais:" totalsRowFunction="sum"/>
  </tableColumns>
  <tableStyleInfo name="TableStyleLight4" showFirstColumn="0" showLastColumn="0" showRowStripes="1" showColumnStripes="0"/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00000000-000C-0000-FFFF-FFFF60000000}" name="Elements13_2_471" displayName="Elements13_2_471" ref="A6:E24" totalsRowCount="1" totalsRowCellStyle="styleRegular">
  <autoFilter ref="A6:E23" xr:uid="{00000000-0009-0000-0100-000061000000}"/>
  <tableColumns count="5">
    <tableColumn id="1" xr3:uid="{00000000-0010-0000-6000-000001000000}" name="Projeto"/>
    <tableColumn id="2" xr3:uid="{00000000-0010-0000-6000-000002000000}" name="Vínculo"/>
    <tableColumn id="3" xr3:uid="{00000000-0010-0000-6000-000003000000}" name="Elemento" totalsRowFunction="count"/>
    <tableColumn id="4" xr3:uid="{00000000-0010-0000-6000-000004000000}" name="Id do Revit"/>
    <tableColumn id="5" xr3:uid="{00000000-0010-0000-6000-000005000000}" name="Totais:" totalsRowFunction="sum"/>
  </tableColumns>
  <tableStyleInfo name="TableStyleLight4" showFirstColumn="0" showLastColumn="0" showRowStripes="1" showColumnStripes="0"/>
</table>
</file>

<file path=xl/tables/table9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00000000-000C-0000-FFFF-FFFF61000000}" name="Elements13_2_481" displayName="Elements13_2_481" ref="A6:E11" totalsRowCount="1" totalsRowCellStyle="styleRegular">
  <autoFilter ref="A6:E10" xr:uid="{00000000-0009-0000-0100-000062000000}"/>
  <tableColumns count="5">
    <tableColumn id="1" xr3:uid="{00000000-0010-0000-6100-000001000000}" name="Projeto"/>
    <tableColumn id="2" xr3:uid="{00000000-0010-0000-6100-000002000000}" name="Vínculo"/>
    <tableColumn id="3" xr3:uid="{00000000-0010-0000-6100-000003000000}" name="Elemento" totalsRowFunction="count"/>
    <tableColumn id="4" xr3:uid="{00000000-0010-0000-6100-000004000000}" name="Id do Revit"/>
    <tableColumn id="5" xr3:uid="{00000000-0010-0000-6100-000005000000}" name="Totais:" totalsRowFunction="sum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2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3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4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5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6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8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9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0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1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2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3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4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5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6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8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9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0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1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2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3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4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5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6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8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9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0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1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2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3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4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5.xml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6.xml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8.xml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0.xml"/><Relationship Id="rId1" Type="http://schemas.openxmlformats.org/officeDocument/2006/relationships/table" Target="../tables/table59.xml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2.xml"/><Relationship Id="rId1" Type="http://schemas.openxmlformats.org/officeDocument/2006/relationships/table" Target="../tables/table61.xml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3.xml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4.xml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5.xml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6.xml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7.xml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8.xml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0.xml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1.xml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2.xml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3.xml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4.xml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5.xml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6.xml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7.xml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8.xml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0.xml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1.xml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2.xml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3.xml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4.xml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5.xml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6.xml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7.xml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8.xml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0.xml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1.xml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2.xml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3.xml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4.xml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5.xml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6.xml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7.xml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showGridLines="0" tabSelected="1" workbookViewId="0">
      <selection activeCell="I54" sqref="I54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12" t="s">
        <v>0</v>
      </c>
      <c r="B1" s="12" t="s">
        <v>0</v>
      </c>
      <c r="C1" s="12" t="s">
        <v>0</v>
      </c>
      <c r="D1" s="12" t="s">
        <v>0</v>
      </c>
      <c r="E1" s="12" t="s">
        <v>0</v>
      </c>
      <c r="F1" s="12" t="s">
        <v>0</v>
      </c>
      <c r="G1" s="12" t="s">
        <v>0</v>
      </c>
      <c r="H1" s="12" t="s">
        <v>0</v>
      </c>
      <c r="I1" s="12" t="s">
        <v>0</v>
      </c>
    </row>
    <row r="2" spans="1:9" x14ac:dyDescent="0.25">
      <c r="A2" s="12" t="s">
        <v>0</v>
      </c>
      <c r="B2" s="12" t="s">
        <v>0</v>
      </c>
      <c r="C2" s="12" t="s">
        <v>0</v>
      </c>
      <c r="D2" s="12" t="s">
        <v>0</v>
      </c>
      <c r="E2" s="12" t="s">
        <v>0</v>
      </c>
      <c r="F2" s="12" t="s">
        <v>0</v>
      </c>
      <c r="G2" s="12" t="s">
        <v>0</v>
      </c>
      <c r="H2" s="12" t="s">
        <v>0</v>
      </c>
      <c r="I2" s="12" t="s">
        <v>0</v>
      </c>
    </row>
    <row r="4" spans="1:9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</row>
    <row r="5" spans="1:9" x14ac:dyDescent="0.25">
      <c r="A5" s="3" t="s">
        <v>10</v>
      </c>
      <c r="B5" s="4"/>
      <c r="C5" s="4"/>
      <c r="D5" s="3" t="s">
        <v>11</v>
      </c>
      <c r="E5" s="4"/>
      <c r="F5" s="3">
        <v>1</v>
      </c>
      <c r="G5" s="4"/>
      <c r="H5" s="4"/>
      <c r="I5" s="22">
        <v>73829.88</v>
      </c>
    </row>
    <row r="6" spans="1:9" x14ac:dyDescent="0.25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6" t="s">
        <v>17</v>
      </c>
      <c r="G6" s="5">
        <v>0.64</v>
      </c>
      <c r="H6" s="5">
        <v>0.76704000000000006</v>
      </c>
      <c r="I6" s="5">
        <v>11.505600000000001</v>
      </c>
    </row>
    <row r="7" spans="1:9" x14ac:dyDescent="0.25">
      <c r="A7" s="5" t="s">
        <v>18</v>
      </c>
      <c r="B7" s="5" t="s">
        <v>19</v>
      </c>
      <c r="C7" s="5" t="s">
        <v>14</v>
      </c>
      <c r="D7" s="5" t="s">
        <v>20</v>
      </c>
      <c r="E7" s="5" t="s">
        <v>16</v>
      </c>
      <c r="F7" s="6" t="s">
        <v>21</v>
      </c>
      <c r="G7" s="5">
        <v>12.77</v>
      </c>
      <c r="H7" s="5">
        <v>15.304845</v>
      </c>
      <c r="I7" s="5">
        <v>30.609690000000001</v>
      </c>
    </row>
    <row r="8" spans="1:9" x14ac:dyDescent="0.25">
      <c r="A8" s="5" t="s">
        <v>22</v>
      </c>
      <c r="B8" s="5" t="s">
        <v>23</v>
      </c>
      <c r="C8" s="5" t="s">
        <v>14</v>
      </c>
      <c r="D8" s="5" t="s">
        <v>24</v>
      </c>
      <c r="E8" s="5" t="s">
        <v>16</v>
      </c>
      <c r="F8" s="6" t="s">
        <v>25</v>
      </c>
      <c r="G8" s="5">
        <v>3.67</v>
      </c>
      <c r="H8" s="5">
        <v>4.3984950000000005</v>
      </c>
      <c r="I8" s="5">
        <v>4.3984950000000005</v>
      </c>
    </row>
    <row r="9" spans="1:9" x14ac:dyDescent="0.25">
      <c r="A9" s="5" t="s">
        <v>26</v>
      </c>
      <c r="B9" s="5" t="s">
        <v>27</v>
      </c>
      <c r="C9" s="5" t="s">
        <v>14</v>
      </c>
      <c r="D9" s="5" t="s">
        <v>28</v>
      </c>
      <c r="E9" s="5" t="s">
        <v>16</v>
      </c>
      <c r="F9" s="6" t="s">
        <v>29</v>
      </c>
      <c r="G9" s="5">
        <v>5.33</v>
      </c>
      <c r="H9" s="5">
        <v>6.3880050000000006</v>
      </c>
      <c r="I9" s="5">
        <v>108.59608500000002</v>
      </c>
    </row>
    <row r="10" spans="1:9" x14ac:dyDescent="0.25">
      <c r="A10" s="5" t="s">
        <v>30</v>
      </c>
      <c r="B10" s="5" t="s">
        <v>31</v>
      </c>
      <c r="C10" s="5" t="s">
        <v>32</v>
      </c>
      <c r="D10" s="5" t="s">
        <v>33</v>
      </c>
      <c r="E10" s="5" t="s">
        <v>16</v>
      </c>
      <c r="F10" s="6" t="s">
        <v>34</v>
      </c>
      <c r="G10" s="5">
        <v>13.02531269514</v>
      </c>
      <c r="H10" s="5">
        <v>15.610837265125292</v>
      </c>
      <c r="I10" s="5">
        <v>187.33004718150352</v>
      </c>
    </row>
    <row r="11" spans="1:9" x14ac:dyDescent="0.25">
      <c r="A11" s="5" t="s">
        <v>35</v>
      </c>
      <c r="B11" s="5" t="s">
        <v>36</v>
      </c>
      <c r="C11" s="5" t="s">
        <v>37</v>
      </c>
      <c r="D11" s="5" t="s">
        <v>38</v>
      </c>
      <c r="E11" s="5" t="s">
        <v>16</v>
      </c>
      <c r="F11" s="6" t="s">
        <v>39</v>
      </c>
      <c r="G11" s="5">
        <v>17.3873788</v>
      </c>
      <c r="H11" s="5">
        <v>20.838773491800001</v>
      </c>
      <c r="I11" s="5">
        <v>4626.2077151796002</v>
      </c>
    </row>
    <row r="12" spans="1:9" x14ac:dyDescent="0.25">
      <c r="A12" s="5" t="s">
        <v>40</v>
      </c>
      <c r="B12" s="5" t="s">
        <v>41</v>
      </c>
      <c r="C12" s="5" t="s">
        <v>14</v>
      </c>
      <c r="D12" s="5" t="s">
        <v>42</v>
      </c>
      <c r="E12" s="5" t="s">
        <v>16</v>
      </c>
      <c r="F12" s="6" t="s">
        <v>25</v>
      </c>
      <c r="G12" s="5">
        <v>165.41</v>
      </c>
      <c r="H12" s="5">
        <v>198.24388500000001</v>
      </c>
      <c r="I12" s="5">
        <v>198.24388500000001</v>
      </c>
    </row>
    <row r="13" spans="1:9" x14ac:dyDescent="0.25">
      <c r="A13" s="5" t="s">
        <v>43</v>
      </c>
      <c r="B13" s="5" t="s">
        <v>44</v>
      </c>
      <c r="C13" s="5" t="s">
        <v>14</v>
      </c>
      <c r="D13" s="5" t="s">
        <v>45</v>
      </c>
      <c r="E13" s="5" t="s">
        <v>16</v>
      </c>
      <c r="F13" s="6" t="s">
        <v>46</v>
      </c>
      <c r="G13" s="5">
        <v>68.771979999999999</v>
      </c>
      <c r="H13" s="5">
        <v>82.423218030000001</v>
      </c>
      <c r="I13" s="5">
        <v>3791.4680293800002</v>
      </c>
    </row>
    <row r="14" spans="1:9" x14ac:dyDescent="0.25">
      <c r="A14" s="5" t="s">
        <v>47</v>
      </c>
      <c r="B14" s="5" t="s">
        <v>48</v>
      </c>
      <c r="C14" s="5" t="s">
        <v>14</v>
      </c>
      <c r="D14" s="5" t="s">
        <v>49</v>
      </c>
      <c r="E14" s="5" t="s">
        <v>16</v>
      </c>
      <c r="F14" s="6" t="s">
        <v>17</v>
      </c>
      <c r="G14" s="5">
        <v>39.130000000000003</v>
      </c>
      <c r="H14" s="5">
        <v>46.89730500000001</v>
      </c>
      <c r="I14" s="5">
        <v>703.4595750000002</v>
      </c>
    </row>
    <row r="15" spans="1:9" x14ac:dyDescent="0.25">
      <c r="A15" s="5" t="s">
        <v>50</v>
      </c>
      <c r="B15" s="5" t="s">
        <v>51</v>
      </c>
      <c r="C15" s="5" t="s">
        <v>14</v>
      </c>
      <c r="D15" s="5" t="s">
        <v>52</v>
      </c>
      <c r="E15" s="5" t="s">
        <v>16</v>
      </c>
      <c r="F15" s="6" t="s">
        <v>21</v>
      </c>
      <c r="G15" s="5">
        <v>51.671979999999998</v>
      </c>
      <c r="H15" s="5">
        <v>61.928868030000004</v>
      </c>
      <c r="I15" s="5">
        <v>123.85773606000001</v>
      </c>
    </row>
    <row r="16" spans="1:9" x14ac:dyDescent="0.25">
      <c r="A16" s="5" t="s">
        <v>53</v>
      </c>
      <c r="B16" s="5" t="s">
        <v>54</v>
      </c>
      <c r="C16" s="5" t="s">
        <v>14</v>
      </c>
      <c r="D16" s="5" t="s">
        <v>55</v>
      </c>
      <c r="E16" s="5" t="s">
        <v>16</v>
      </c>
      <c r="F16" s="6" t="s">
        <v>56</v>
      </c>
      <c r="G16" s="5">
        <v>64.117310000000003</v>
      </c>
      <c r="H16" s="5">
        <v>76.844596035000009</v>
      </c>
      <c r="I16" s="5">
        <v>1229.5135365600001</v>
      </c>
    </row>
    <row r="17" spans="1:9" x14ac:dyDescent="0.25">
      <c r="A17" s="5" t="s">
        <v>57</v>
      </c>
      <c r="B17" s="5" t="s">
        <v>58</v>
      </c>
      <c r="C17" s="5" t="s">
        <v>14</v>
      </c>
      <c r="D17" s="5" t="s">
        <v>59</v>
      </c>
      <c r="E17" s="5" t="s">
        <v>16</v>
      </c>
      <c r="F17" s="6" t="s">
        <v>60</v>
      </c>
      <c r="G17" s="5">
        <v>78.657309999999995</v>
      </c>
      <c r="H17" s="5">
        <v>94.270786035</v>
      </c>
      <c r="I17" s="5">
        <v>942.70786035000003</v>
      </c>
    </row>
    <row r="18" spans="1:9" x14ac:dyDescent="0.25">
      <c r="A18" s="5" t="s">
        <v>61</v>
      </c>
      <c r="B18" s="5" t="s">
        <v>62</v>
      </c>
      <c r="C18" s="5" t="s">
        <v>14</v>
      </c>
      <c r="D18" s="5" t="s">
        <v>63</v>
      </c>
      <c r="E18" s="5" t="s">
        <v>16</v>
      </c>
      <c r="F18" s="6" t="s">
        <v>64</v>
      </c>
      <c r="G18" s="5">
        <v>9.2899999999999991</v>
      </c>
      <c r="H18" s="5">
        <v>11.134065</v>
      </c>
      <c r="I18" s="5">
        <v>200.41316999999998</v>
      </c>
    </row>
    <row r="19" spans="1:9" x14ac:dyDescent="0.25">
      <c r="A19" s="5" t="s">
        <v>65</v>
      </c>
      <c r="B19" s="5" t="s">
        <v>66</v>
      </c>
      <c r="C19" s="5" t="s">
        <v>14</v>
      </c>
      <c r="D19" s="5" t="s">
        <v>67</v>
      </c>
      <c r="E19" s="5" t="s">
        <v>16</v>
      </c>
      <c r="F19" s="6" t="s">
        <v>68</v>
      </c>
      <c r="G19" s="5">
        <v>1.25</v>
      </c>
      <c r="H19" s="5">
        <v>1.4981250000000002</v>
      </c>
      <c r="I19" s="5">
        <v>50.936250000000008</v>
      </c>
    </row>
    <row r="20" spans="1:9" x14ac:dyDescent="0.25">
      <c r="A20" s="5" t="s">
        <v>69</v>
      </c>
      <c r="B20" s="5" t="s">
        <v>70</v>
      </c>
      <c r="C20" s="5" t="s">
        <v>14</v>
      </c>
      <c r="D20" s="5" t="s">
        <v>71</v>
      </c>
      <c r="E20" s="5" t="s">
        <v>16</v>
      </c>
      <c r="F20" s="6" t="s">
        <v>72</v>
      </c>
      <c r="G20" s="5">
        <v>7.48</v>
      </c>
      <c r="H20" s="5">
        <v>8.9647800000000011</v>
      </c>
      <c r="I20" s="5">
        <v>268.94340000000005</v>
      </c>
    </row>
    <row r="21" spans="1:9" x14ac:dyDescent="0.25">
      <c r="A21" s="5" t="s">
        <v>73</v>
      </c>
      <c r="B21" s="5" t="s">
        <v>74</v>
      </c>
      <c r="C21" s="5" t="s">
        <v>14</v>
      </c>
      <c r="D21" s="5" t="s">
        <v>75</v>
      </c>
      <c r="E21" s="5" t="s">
        <v>16</v>
      </c>
      <c r="F21" s="6" t="s">
        <v>76</v>
      </c>
      <c r="G21" s="5">
        <v>25</v>
      </c>
      <c r="H21" s="5">
        <v>29.962500000000002</v>
      </c>
      <c r="I21" s="5">
        <v>569.28750000000002</v>
      </c>
    </row>
    <row r="22" spans="1:9" x14ac:dyDescent="0.25">
      <c r="A22" s="5" t="s">
        <v>77</v>
      </c>
      <c r="B22" s="5" t="s">
        <v>78</v>
      </c>
      <c r="C22" s="5" t="s">
        <v>14</v>
      </c>
      <c r="D22" s="5" t="s">
        <v>79</v>
      </c>
      <c r="E22" s="5" t="s">
        <v>16</v>
      </c>
      <c r="F22" s="6" t="s">
        <v>80</v>
      </c>
      <c r="G22" s="5">
        <v>10.55</v>
      </c>
      <c r="H22" s="5">
        <v>12.644175000000002</v>
      </c>
      <c r="I22" s="5">
        <v>50.57670000000001</v>
      </c>
    </row>
    <row r="23" spans="1:9" x14ac:dyDescent="0.25">
      <c r="A23" s="5" t="s">
        <v>81</v>
      </c>
      <c r="B23" s="5" t="s">
        <v>82</v>
      </c>
      <c r="C23" s="5" t="s">
        <v>14</v>
      </c>
      <c r="D23" s="5" t="s">
        <v>83</v>
      </c>
      <c r="E23" s="5" t="s">
        <v>16</v>
      </c>
      <c r="F23" s="6" t="s">
        <v>84</v>
      </c>
      <c r="G23" s="5">
        <v>23.835989999999999</v>
      </c>
      <c r="H23" s="5">
        <v>28.567434015</v>
      </c>
      <c r="I23" s="5">
        <v>85.702302044999996</v>
      </c>
    </row>
    <row r="24" spans="1:9" x14ac:dyDescent="0.25">
      <c r="A24" s="5" t="s">
        <v>85</v>
      </c>
      <c r="B24" s="5" t="s">
        <v>86</v>
      </c>
      <c r="C24" s="5" t="s">
        <v>14</v>
      </c>
      <c r="D24" s="5" t="s">
        <v>87</v>
      </c>
      <c r="E24" s="5" t="s">
        <v>16</v>
      </c>
      <c r="F24" s="6" t="s">
        <v>64</v>
      </c>
      <c r="G24" s="5">
        <v>23.68</v>
      </c>
      <c r="H24" s="5">
        <v>28.380480000000002</v>
      </c>
      <c r="I24" s="5">
        <v>510.84864000000005</v>
      </c>
    </row>
    <row r="25" spans="1:9" x14ac:dyDescent="0.25">
      <c r="A25" s="5" t="s">
        <v>88</v>
      </c>
      <c r="B25" s="5" t="s">
        <v>89</v>
      </c>
      <c r="C25" s="5" t="s">
        <v>14</v>
      </c>
      <c r="D25" s="5" t="s">
        <v>90</v>
      </c>
      <c r="E25" s="5" t="s">
        <v>91</v>
      </c>
      <c r="F25" s="6" t="s">
        <v>92</v>
      </c>
      <c r="G25" s="5">
        <v>3.2456489999999998</v>
      </c>
      <c r="H25" s="5">
        <v>3.8899103265000003</v>
      </c>
      <c r="I25" s="5">
        <v>2511.5206023047253</v>
      </c>
    </row>
    <row r="26" spans="1:9" x14ac:dyDescent="0.25">
      <c r="A26" s="5" t="s">
        <v>93</v>
      </c>
      <c r="B26" s="5" t="s">
        <v>94</v>
      </c>
      <c r="C26" s="5" t="s">
        <v>14</v>
      </c>
      <c r="D26" s="5" t="s">
        <v>95</v>
      </c>
      <c r="E26" s="5" t="s">
        <v>91</v>
      </c>
      <c r="F26" s="6" t="s">
        <v>96</v>
      </c>
      <c r="G26" s="5">
        <v>7.1597650000000002</v>
      </c>
      <c r="H26" s="5">
        <v>8.5809783525000007</v>
      </c>
      <c r="I26" s="5">
        <v>783.10008444915013</v>
      </c>
    </row>
    <row r="27" spans="1:9" x14ac:dyDescent="0.25">
      <c r="A27" s="5" t="s">
        <v>97</v>
      </c>
      <c r="B27" s="5" t="s">
        <v>98</v>
      </c>
      <c r="C27" s="5" t="s">
        <v>14</v>
      </c>
      <c r="D27" s="5" t="s">
        <v>99</v>
      </c>
      <c r="E27" s="5" t="s">
        <v>91</v>
      </c>
      <c r="F27" s="6" t="s">
        <v>100</v>
      </c>
      <c r="G27" s="5">
        <v>22.517835999999999</v>
      </c>
      <c r="H27" s="5">
        <v>26.987626446</v>
      </c>
      <c r="I27" s="5">
        <v>2585.1447372623402</v>
      </c>
    </row>
    <row r="28" spans="1:9" x14ac:dyDescent="0.25">
      <c r="A28" s="5" t="s">
        <v>101</v>
      </c>
      <c r="B28" s="5" t="s">
        <v>102</v>
      </c>
      <c r="C28" s="5" t="s">
        <v>14</v>
      </c>
      <c r="D28" s="5" t="s">
        <v>103</v>
      </c>
      <c r="E28" s="5" t="s">
        <v>91</v>
      </c>
      <c r="F28" s="6" t="s">
        <v>104</v>
      </c>
      <c r="G28" s="5">
        <v>11.125558</v>
      </c>
      <c r="H28" s="5">
        <v>13.333981263000002</v>
      </c>
      <c r="I28" s="5">
        <v>3714.847179871801</v>
      </c>
    </row>
    <row r="29" spans="1:9" x14ac:dyDescent="0.25">
      <c r="A29" s="5" t="s">
        <v>105</v>
      </c>
      <c r="B29" s="5" t="s">
        <v>2017</v>
      </c>
      <c r="C29" s="5" t="s">
        <v>14</v>
      </c>
      <c r="D29" s="5" t="s">
        <v>106</v>
      </c>
      <c r="E29" s="5" t="s">
        <v>16</v>
      </c>
      <c r="F29" s="6" t="s">
        <v>64</v>
      </c>
      <c r="G29" s="5">
        <v>45.33</v>
      </c>
      <c r="H29" s="5">
        <v>54.32</v>
      </c>
      <c r="I29" s="5">
        <v>977.76</v>
      </c>
    </row>
    <row r="30" spans="1:9" x14ac:dyDescent="0.25">
      <c r="A30" s="5" t="s">
        <v>107</v>
      </c>
      <c r="B30" s="5" t="s">
        <v>108</v>
      </c>
      <c r="C30" s="5" t="s">
        <v>32</v>
      </c>
      <c r="D30" s="5" t="s">
        <v>109</v>
      </c>
      <c r="E30" s="5" t="s">
        <v>16</v>
      </c>
      <c r="F30" s="6" t="s">
        <v>84</v>
      </c>
      <c r="G30" s="5">
        <v>14.355492744759999</v>
      </c>
      <c r="H30" s="5">
        <v>17.205058054594861</v>
      </c>
      <c r="I30" s="5">
        <v>51.615174163784587</v>
      </c>
    </row>
    <row r="31" spans="1:9" x14ac:dyDescent="0.25">
      <c r="A31" s="5" t="s">
        <v>110</v>
      </c>
      <c r="B31" s="5" t="s">
        <v>111</v>
      </c>
      <c r="C31" s="5" t="s">
        <v>14</v>
      </c>
      <c r="D31" s="5" t="s">
        <v>112</v>
      </c>
      <c r="E31" s="5" t="s">
        <v>16</v>
      </c>
      <c r="F31" s="6" t="s">
        <v>80</v>
      </c>
      <c r="G31" s="5">
        <v>12.04</v>
      </c>
      <c r="H31" s="5">
        <v>14.42994</v>
      </c>
      <c r="I31" s="5">
        <v>57.719760000000001</v>
      </c>
    </row>
    <row r="32" spans="1:9" ht="36.75" x14ac:dyDescent="0.25">
      <c r="A32" s="5" t="s">
        <v>113</v>
      </c>
      <c r="B32" s="5" t="s">
        <v>114</v>
      </c>
      <c r="C32" s="5" t="s">
        <v>14</v>
      </c>
      <c r="D32" s="5" t="s">
        <v>115</v>
      </c>
      <c r="E32" s="5" t="s">
        <v>16</v>
      </c>
      <c r="F32" s="6" t="s">
        <v>116</v>
      </c>
      <c r="G32" s="5">
        <v>915.44</v>
      </c>
      <c r="H32" s="5">
        <v>1097.1548400000001</v>
      </c>
      <c r="I32" s="5">
        <v>6582.9290400000009</v>
      </c>
    </row>
    <row r="33" spans="1:9" x14ac:dyDescent="0.25">
      <c r="A33" s="5" t="s">
        <v>117</v>
      </c>
      <c r="B33" s="5" t="s">
        <v>118</v>
      </c>
      <c r="C33" s="5" t="s">
        <v>14</v>
      </c>
      <c r="D33" s="5" t="s">
        <v>119</v>
      </c>
      <c r="E33" s="5" t="s">
        <v>16</v>
      </c>
      <c r="F33" s="6" t="s">
        <v>120</v>
      </c>
      <c r="G33" s="5">
        <v>28.02</v>
      </c>
      <c r="H33" s="5">
        <v>33.581970000000005</v>
      </c>
      <c r="I33" s="5">
        <v>805.96728000000007</v>
      </c>
    </row>
    <row r="34" spans="1:9" ht="24.75" x14ac:dyDescent="0.25">
      <c r="A34" s="5" t="s">
        <v>121</v>
      </c>
      <c r="B34" s="5" t="s">
        <v>122</v>
      </c>
      <c r="C34" s="5" t="s">
        <v>14</v>
      </c>
      <c r="D34" s="5" t="s">
        <v>123</v>
      </c>
      <c r="E34" s="5" t="s">
        <v>16</v>
      </c>
      <c r="F34" s="6" t="s">
        <v>116</v>
      </c>
      <c r="G34" s="5">
        <v>855.64675316479997</v>
      </c>
      <c r="H34" s="5">
        <v>1025.4926336680128</v>
      </c>
      <c r="I34" s="5">
        <v>6152.9558020080767</v>
      </c>
    </row>
    <row r="35" spans="1:9" x14ac:dyDescent="0.25">
      <c r="A35" s="5" t="s">
        <v>124</v>
      </c>
      <c r="B35" s="5" t="s">
        <v>125</v>
      </c>
      <c r="C35" s="5" t="s">
        <v>14</v>
      </c>
      <c r="D35" s="5" t="s">
        <v>126</v>
      </c>
      <c r="E35" s="5" t="s">
        <v>16</v>
      </c>
      <c r="F35" s="6" t="s">
        <v>127</v>
      </c>
      <c r="G35" s="5">
        <v>128.4066</v>
      </c>
      <c r="H35" s="5">
        <v>153.89531010000002</v>
      </c>
      <c r="I35" s="5">
        <v>769.47655050000003</v>
      </c>
    </row>
    <row r="36" spans="1:9" x14ac:dyDescent="0.25">
      <c r="A36" s="5" t="s">
        <v>128</v>
      </c>
      <c r="B36" s="5" t="s">
        <v>129</v>
      </c>
      <c r="C36" s="5" t="s">
        <v>14</v>
      </c>
      <c r="D36" s="5" t="s">
        <v>130</v>
      </c>
      <c r="E36" s="5" t="s">
        <v>16</v>
      </c>
      <c r="F36" s="6" t="s">
        <v>34</v>
      </c>
      <c r="G36" s="5">
        <v>3.31</v>
      </c>
      <c r="H36" s="5">
        <v>3.9670350000000005</v>
      </c>
      <c r="I36" s="5">
        <v>47.604420000000005</v>
      </c>
    </row>
    <row r="37" spans="1:9" ht="24.75" x14ac:dyDescent="0.25">
      <c r="A37" s="5" t="s">
        <v>131</v>
      </c>
      <c r="B37" s="5" t="s">
        <v>132</v>
      </c>
      <c r="C37" s="5" t="s">
        <v>32</v>
      </c>
      <c r="D37" s="5" t="s">
        <v>133</v>
      </c>
      <c r="E37" s="5" t="s">
        <v>91</v>
      </c>
      <c r="F37" s="6" t="s">
        <v>134</v>
      </c>
      <c r="G37" s="5">
        <v>13.501244935560001</v>
      </c>
      <c r="H37" s="5">
        <v>16.181242055268662</v>
      </c>
      <c r="I37" s="5">
        <v>953.72240673753493</v>
      </c>
    </row>
    <row r="38" spans="1:9" x14ac:dyDescent="0.25">
      <c r="A38" s="5" t="s">
        <v>135</v>
      </c>
      <c r="B38" s="5" t="s">
        <v>136</v>
      </c>
      <c r="C38" s="5" t="s">
        <v>14</v>
      </c>
      <c r="D38" s="5" t="s">
        <v>137</v>
      </c>
      <c r="E38" s="5" t="s">
        <v>16</v>
      </c>
      <c r="F38" s="6" t="s">
        <v>80</v>
      </c>
      <c r="G38" s="5">
        <v>11.99</v>
      </c>
      <c r="H38" s="5">
        <v>14.370015000000002</v>
      </c>
      <c r="I38" s="5">
        <v>57.480060000000009</v>
      </c>
    </row>
    <row r="39" spans="1:9" x14ac:dyDescent="0.25">
      <c r="A39" s="5" t="s">
        <v>138</v>
      </c>
      <c r="B39" s="5" t="s">
        <v>139</v>
      </c>
      <c r="C39" s="5" t="s">
        <v>14</v>
      </c>
      <c r="D39" s="5" t="s">
        <v>140</v>
      </c>
      <c r="E39" s="5" t="s">
        <v>16</v>
      </c>
      <c r="F39" s="6" t="s">
        <v>141</v>
      </c>
      <c r="G39" s="5">
        <v>2.61</v>
      </c>
      <c r="H39" s="5">
        <v>3.128085</v>
      </c>
      <c r="I39" s="5">
        <v>428.54764499999999</v>
      </c>
    </row>
    <row r="40" spans="1:9" x14ac:dyDescent="0.25">
      <c r="A40" s="5" t="s">
        <v>142</v>
      </c>
      <c r="B40" s="5" t="s">
        <v>143</v>
      </c>
      <c r="C40" s="5" t="s">
        <v>14</v>
      </c>
      <c r="D40" s="5" t="s">
        <v>144</v>
      </c>
      <c r="E40" s="5" t="s">
        <v>16</v>
      </c>
      <c r="F40" s="6" t="s">
        <v>145</v>
      </c>
      <c r="G40" s="5">
        <v>11.2</v>
      </c>
      <c r="H40" s="5">
        <v>13.423200000000001</v>
      </c>
      <c r="I40" s="5">
        <v>644.31360000000006</v>
      </c>
    </row>
    <row r="41" spans="1:9" x14ac:dyDescent="0.25">
      <c r="A41" s="5" t="s">
        <v>146</v>
      </c>
      <c r="B41" s="5" t="s">
        <v>147</v>
      </c>
      <c r="C41" s="5" t="s">
        <v>14</v>
      </c>
      <c r="D41" s="5" t="s">
        <v>148</v>
      </c>
      <c r="E41" s="5" t="s">
        <v>16</v>
      </c>
      <c r="F41" s="6" t="s">
        <v>120</v>
      </c>
      <c r="G41" s="5">
        <v>1.58</v>
      </c>
      <c r="H41" s="5">
        <v>1.8936300000000004</v>
      </c>
      <c r="I41" s="5">
        <v>45.447120000000012</v>
      </c>
    </row>
    <row r="42" spans="1:9" x14ac:dyDescent="0.25">
      <c r="A42" s="5" t="s">
        <v>149</v>
      </c>
      <c r="B42" s="5" t="s">
        <v>150</v>
      </c>
      <c r="C42" s="5" t="s">
        <v>14</v>
      </c>
      <c r="D42" s="5" t="s">
        <v>151</v>
      </c>
      <c r="E42" s="5" t="s">
        <v>16</v>
      </c>
      <c r="F42" s="6" t="s">
        <v>152</v>
      </c>
      <c r="G42" s="5">
        <v>0.65</v>
      </c>
      <c r="H42" s="5">
        <v>0.77902500000000008</v>
      </c>
      <c r="I42" s="5">
        <v>8.5692750000000011</v>
      </c>
    </row>
    <row r="43" spans="1:9" x14ac:dyDescent="0.25">
      <c r="A43" s="5" t="s">
        <v>153</v>
      </c>
      <c r="B43" s="5" t="s">
        <v>154</v>
      </c>
      <c r="C43" s="5" t="s">
        <v>37</v>
      </c>
      <c r="D43" s="5" t="s">
        <v>155</v>
      </c>
      <c r="E43" s="5" t="s">
        <v>16</v>
      </c>
      <c r="F43" s="6" t="s">
        <v>29</v>
      </c>
      <c r="G43" s="5">
        <v>94.136374462000006</v>
      </c>
      <c r="H43" s="5">
        <v>112.82244479270702</v>
      </c>
      <c r="I43" s="5">
        <v>1917.9815614760194</v>
      </c>
    </row>
    <row r="44" spans="1:9" x14ac:dyDescent="0.25">
      <c r="A44" s="5" t="s">
        <v>156</v>
      </c>
      <c r="B44" s="5" t="s">
        <v>157</v>
      </c>
      <c r="C44" s="5" t="s">
        <v>14</v>
      </c>
      <c r="D44" s="5" t="s">
        <v>158</v>
      </c>
      <c r="E44" s="5" t="s">
        <v>16</v>
      </c>
      <c r="F44" s="6" t="s">
        <v>21</v>
      </c>
      <c r="G44" s="5">
        <v>4.38</v>
      </c>
      <c r="H44" s="5">
        <v>5.2494300000000003</v>
      </c>
      <c r="I44" s="5">
        <v>10.498860000000001</v>
      </c>
    </row>
    <row r="45" spans="1:9" x14ac:dyDescent="0.25">
      <c r="A45" s="5" t="s">
        <v>159</v>
      </c>
      <c r="B45" s="5" t="s">
        <v>160</v>
      </c>
      <c r="C45" s="5" t="s">
        <v>14</v>
      </c>
      <c r="D45" s="5" t="s">
        <v>161</v>
      </c>
      <c r="E45" s="5" t="s">
        <v>16</v>
      </c>
      <c r="F45" s="6" t="s">
        <v>162</v>
      </c>
      <c r="G45" s="5">
        <v>21.21</v>
      </c>
      <c r="H45" s="5">
        <v>25.420185000000004</v>
      </c>
      <c r="I45" s="5">
        <v>330.46240500000005</v>
      </c>
    </row>
    <row r="46" spans="1:9" x14ac:dyDescent="0.25">
      <c r="A46" s="5" t="s">
        <v>163</v>
      </c>
      <c r="B46" s="5" t="s">
        <v>164</v>
      </c>
      <c r="C46" s="5" t="s">
        <v>14</v>
      </c>
      <c r="D46" s="5" t="s">
        <v>165</v>
      </c>
      <c r="E46" s="5" t="s">
        <v>16</v>
      </c>
      <c r="F46" s="6" t="s">
        <v>166</v>
      </c>
      <c r="G46" s="5">
        <v>6.71</v>
      </c>
      <c r="H46" s="5">
        <v>8.0419350000000005</v>
      </c>
      <c r="I46" s="5">
        <v>579.01931999999999</v>
      </c>
    </row>
    <row r="47" spans="1:9" x14ac:dyDescent="0.25">
      <c r="A47" s="5" t="s">
        <v>167</v>
      </c>
      <c r="B47" s="5" t="s">
        <v>168</v>
      </c>
      <c r="C47" s="5" t="s">
        <v>14</v>
      </c>
      <c r="D47" s="5" t="s">
        <v>169</v>
      </c>
      <c r="E47" s="5" t="s">
        <v>16</v>
      </c>
      <c r="F47" s="6" t="s">
        <v>170</v>
      </c>
      <c r="G47" s="5">
        <v>27.71</v>
      </c>
      <c r="H47" s="5">
        <v>33.210435000000004</v>
      </c>
      <c r="I47" s="5">
        <v>265.68348000000003</v>
      </c>
    </row>
    <row r="48" spans="1:9" x14ac:dyDescent="0.25">
      <c r="A48" s="5" t="s">
        <v>171</v>
      </c>
      <c r="B48" s="5" t="s">
        <v>172</v>
      </c>
      <c r="C48" s="5" t="s">
        <v>14</v>
      </c>
      <c r="D48" s="5" t="s">
        <v>173</v>
      </c>
      <c r="E48" s="5" t="s">
        <v>16</v>
      </c>
      <c r="F48" s="6" t="s">
        <v>174</v>
      </c>
      <c r="G48" s="5">
        <v>74.959999999999994</v>
      </c>
      <c r="H48" s="5">
        <v>89.839560000000006</v>
      </c>
      <c r="I48" s="5">
        <v>1976.4703200000001</v>
      </c>
    </row>
    <row r="49" spans="1:9" x14ac:dyDescent="0.25">
      <c r="A49" s="5" t="s">
        <v>175</v>
      </c>
      <c r="B49" s="5" t="s">
        <v>176</v>
      </c>
      <c r="C49" s="5" t="s">
        <v>14</v>
      </c>
      <c r="D49" s="5" t="s">
        <v>177</v>
      </c>
      <c r="E49" s="5" t="s">
        <v>16</v>
      </c>
      <c r="F49" s="6" t="s">
        <v>21</v>
      </c>
      <c r="G49" s="5">
        <v>106.27731</v>
      </c>
      <c r="H49" s="5">
        <v>127.37335603500001</v>
      </c>
      <c r="I49" s="5">
        <v>254.74671207000003</v>
      </c>
    </row>
    <row r="50" spans="1:9" x14ac:dyDescent="0.25">
      <c r="A50" s="5" t="s">
        <v>178</v>
      </c>
      <c r="B50" s="5" t="s">
        <v>179</v>
      </c>
      <c r="C50" s="5" t="s">
        <v>14</v>
      </c>
      <c r="D50" s="5" t="s">
        <v>180</v>
      </c>
      <c r="E50" s="5" t="s">
        <v>16</v>
      </c>
      <c r="F50" s="6" t="s">
        <v>80</v>
      </c>
      <c r="G50" s="5">
        <v>187.57731000000001</v>
      </c>
      <c r="H50" s="5">
        <v>224.81140603500003</v>
      </c>
      <c r="I50" s="5">
        <v>899.24562414000013</v>
      </c>
    </row>
    <row r="51" spans="1:9" x14ac:dyDescent="0.25">
      <c r="A51" s="5" t="s">
        <v>181</v>
      </c>
      <c r="B51" s="5" t="s">
        <v>182</v>
      </c>
      <c r="C51" s="5" t="s">
        <v>32</v>
      </c>
      <c r="D51" s="5" t="s">
        <v>183</v>
      </c>
      <c r="E51" s="5" t="s">
        <v>16</v>
      </c>
      <c r="F51" s="6" t="s">
        <v>184</v>
      </c>
      <c r="G51" s="5">
        <v>107.18548271518</v>
      </c>
      <c r="H51" s="5">
        <v>128.46180103414324</v>
      </c>
      <c r="I51" s="5">
        <v>1798.4652144780052</v>
      </c>
    </row>
    <row r="52" spans="1:9" x14ac:dyDescent="0.25">
      <c r="A52" s="5" t="s">
        <v>185</v>
      </c>
      <c r="B52" s="5" t="s">
        <v>186</v>
      </c>
      <c r="C52" s="5" t="s">
        <v>32</v>
      </c>
      <c r="D52" s="5" t="s">
        <v>187</v>
      </c>
      <c r="E52" s="5" t="s">
        <v>16</v>
      </c>
      <c r="F52" s="6" t="s">
        <v>29</v>
      </c>
      <c r="G52" s="5">
        <v>44.353822682919997</v>
      </c>
      <c r="H52" s="5">
        <v>53.158056485479619</v>
      </c>
      <c r="I52" s="5">
        <v>903.68696025315353</v>
      </c>
    </row>
    <row r="53" spans="1:9" x14ac:dyDescent="0.25">
      <c r="A53" s="5" t="s">
        <v>188</v>
      </c>
      <c r="B53" s="5" t="s">
        <v>189</v>
      </c>
      <c r="C53" s="5" t="s">
        <v>37</v>
      </c>
      <c r="D53" s="5" t="s">
        <v>190</v>
      </c>
      <c r="E53" s="5" t="s">
        <v>16</v>
      </c>
      <c r="F53" s="6" t="s">
        <v>80</v>
      </c>
      <c r="G53" s="5">
        <v>5014.6787316</v>
      </c>
      <c r="H53" s="5">
        <v>6010.0924598226002</v>
      </c>
      <c r="I53" s="5">
        <v>24040.369839290401</v>
      </c>
    </row>
    <row r="54" spans="1:9" x14ac:dyDescent="0.25">
      <c r="I54" s="23">
        <v>73829.88</v>
      </c>
    </row>
  </sheetData>
  <mergeCells count="1">
    <mergeCell ref="A1:I2"/>
  </mergeCells>
  <hyperlinks>
    <hyperlink ref="A5" location="'13.2'!A1" display="13.2" xr:uid="{00000000-0004-0000-0000-000000000000}"/>
    <hyperlink ref="A6" location="'13.2.1'!A1" display="13.2.1" xr:uid="{00000000-0004-0000-0000-000001000000}"/>
    <hyperlink ref="F6" location="'13.2.1E'!A1" display="15,00" xr:uid="{00000000-0004-0000-0000-000002000000}"/>
    <hyperlink ref="A7" location="'13.2.2'!A1" display="13.2.2" xr:uid="{00000000-0004-0000-0000-000003000000}"/>
    <hyperlink ref="F7" location="'13.2.2E'!A1" display="2,00" xr:uid="{00000000-0004-0000-0000-000004000000}"/>
    <hyperlink ref="A8" location="'13.2.3'!A1" display="13.2.3" xr:uid="{00000000-0004-0000-0000-000005000000}"/>
    <hyperlink ref="F8" location="'13.2.3E'!A1" display="1,00" xr:uid="{00000000-0004-0000-0000-000006000000}"/>
    <hyperlink ref="A9" location="'13.2.4'!A1" display="13.2.4" xr:uid="{00000000-0004-0000-0000-000007000000}"/>
    <hyperlink ref="F9" location="'13.2.4E'!A1" display="17,00" xr:uid="{00000000-0004-0000-0000-000008000000}"/>
    <hyperlink ref="A10" location="'13.2.5'!A1" display="13.2.5" xr:uid="{00000000-0004-0000-0000-000009000000}"/>
    <hyperlink ref="F10" location="'13.2.5E'!A1" display="12,00" xr:uid="{00000000-0004-0000-0000-00000A000000}"/>
    <hyperlink ref="A11" location="'13.2.6'!A1" display="13.2.6" xr:uid="{00000000-0004-0000-0000-00000B000000}"/>
    <hyperlink ref="F11" location="'13.2.6E'!A1" display="222,00" xr:uid="{00000000-0004-0000-0000-00000C000000}"/>
    <hyperlink ref="A12" location="'13.2.7'!A1" display="13.2.7" xr:uid="{00000000-0004-0000-0000-00000D000000}"/>
    <hyperlink ref="F12" location="'13.2.7E'!A1" display="1,00" xr:uid="{00000000-0004-0000-0000-00000E000000}"/>
    <hyperlink ref="A13" location="'13.2.8'!A1" display="13.2.8" xr:uid="{00000000-0004-0000-0000-00000F000000}"/>
    <hyperlink ref="F13" location="'13.2.8E'!A1" display="46,00" xr:uid="{00000000-0004-0000-0000-000010000000}"/>
    <hyperlink ref="A14" location="'13.2.9'!A1" display="13.2.9" xr:uid="{00000000-0004-0000-0000-000011000000}"/>
    <hyperlink ref="F14" location="'13.2.9E'!A1" display="15,00" xr:uid="{00000000-0004-0000-0000-000012000000}"/>
    <hyperlink ref="A15" location="'13.2.10'!A1" display="13.2.10" xr:uid="{00000000-0004-0000-0000-000013000000}"/>
    <hyperlink ref="F15" location="'13.2.10E'!A1" display="2,00" xr:uid="{00000000-0004-0000-0000-000014000000}"/>
    <hyperlink ref="A16" location="'13.2.11'!A1" display="13.2.11" xr:uid="{00000000-0004-0000-0000-000015000000}"/>
    <hyperlink ref="F16" location="'13.2.11E'!A1" display="16,00" xr:uid="{00000000-0004-0000-0000-000016000000}"/>
    <hyperlink ref="A17" location="'13.2.12'!A1" display="13.2.12" xr:uid="{00000000-0004-0000-0000-000017000000}"/>
    <hyperlink ref="F17" location="'13.2.12E'!A1" display="10,00" xr:uid="{00000000-0004-0000-0000-000018000000}"/>
    <hyperlink ref="A18" location="'13.2.13'!A1" display="13.2.13" xr:uid="{00000000-0004-0000-0000-000019000000}"/>
    <hyperlink ref="F18" location="'13.2.13E'!A1" display="18,00" xr:uid="{00000000-0004-0000-0000-00001A000000}"/>
    <hyperlink ref="A19" location="'13.2.14'!A1" display="13.2.14" xr:uid="{00000000-0004-0000-0000-00001B000000}"/>
    <hyperlink ref="F19" location="'13.2.14E'!A1" display="34,00" xr:uid="{00000000-0004-0000-0000-00001C000000}"/>
    <hyperlink ref="A20" location="'13.2.15'!A1" display="13.2.15" xr:uid="{00000000-0004-0000-0000-00001D000000}"/>
    <hyperlink ref="F20" location="'13.2.15E'!A1" display="30,00" xr:uid="{00000000-0004-0000-0000-00001E000000}"/>
    <hyperlink ref="A21" location="'13.2.16'!A1" display="13.2.16" xr:uid="{00000000-0004-0000-0000-00001F000000}"/>
    <hyperlink ref="F21" location="'13.2.16E'!A1" display="19,00" xr:uid="{00000000-0004-0000-0000-000020000000}"/>
    <hyperlink ref="A22" location="'13.2.17'!A1" display="13.2.17" xr:uid="{00000000-0004-0000-0000-000021000000}"/>
    <hyperlink ref="F22" location="'13.2.17E'!A1" display="4,00" xr:uid="{00000000-0004-0000-0000-000022000000}"/>
    <hyperlink ref="A23" location="'13.2.18'!A1" display="13.2.18" xr:uid="{00000000-0004-0000-0000-000023000000}"/>
    <hyperlink ref="F23" location="'13.2.18E'!A1" display="3,00" xr:uid="{00000000-0004-0000-0000-000024000000}"/>
    <hyperlink ref="A24" location="'13.2.19'!A1" display="13.2.19" xr:uid="{00000000-0004-0000-0000-000025000000}"/>
    <hyperlink ref="F24" location="'13.2.19E'!A1" display="18,00" xr:uid="{00000000-0004-0000-0000-000026000000}"/>
    <hyperlink ref="A25" location="'13.2.20'!A1" display="13.2.20" xr:uid="{00000000-0004-0000-0000-000027000000}"/>
    <hyperlink ref="F25" location="'13.2.20E'!A1" display="645,65" xr:uid="{00000000-0004-0000-0000-000028000000}"/>
    <hyperlink ref="A26" location="'13.2.21'!A1" display="13.2.21" xr:uid="{00000000-0004-0000-0000-000029000000}"/>
    <hyperlink ref="F26" location="'13.2.21E'!A1" display="91,26" xr:uid="{00000000-0004-0000-0000-00002A000000}"/>
    <hyperlink ref="A27" location="'13.2.22'!A1" display="13.2.22" xr:uid="{00000000-0004-0000-0000-00002B000000}"/>
    <hyperlink ref="F27" location="'13.2.22E'!A1" display="95,79" xr:uid="{00000000-0004-0000-0000-00002C000000}"/>
    <hyperlink ref="A28" location="'13.2.23'!A1" display="13.2.23" xr:uid="{00000000-0004-0000-0000-00002D000000}"/>
    <hyperlink ref="F28" location="'13.2.23E'!A1" display="278,60" xr:uid="{00000000-0004-0000-0000-00002E000000}"/>
    <hyperlink ref="A29" location="'13.2.24'!A1" display="13.2.24" xr:uid="{00000000-0004-0000-0000-00002F000000}"/>
    <hyperlink ref="F29" location="'13.2.24E'!A1" display="18,00" xr:uid="{00000000-0004-0000-0000-000030000000}"/>
    <hyperlink ref="A30" location="'13.2.25'!A1" display="13.2.25" xr:uid="{00000000-0004-0000-0000-000031000000}"/>
    <hyperlink ref="F30" location="'13.2.25E'!A1" display="3,00" xr:uid="{00000000-0004-0000-0000-000032000000}"/>
    <hyperlink ref="A31" location="'13.2.26'!A1" display="13.2.26" xr:uid="{00000000-0004-0000-0000-000033000000}"/>
    <hyperlink ref="F31" location="'13.2.26E'!A1" display="4,00" xr:uid="{00000000-0004-0000-0000-000034000000}"/>
    <hyperlink ref="A32" location="'13.2.27'!A1" display="13.2.27" xr:uid="{00000000-0004-0000-0000-000035000000}"/>
    <hyperlink ref="F32" location="'13.2.27E'!A1" display="6,00" xr:uid="{00000000-0004-0000-0000-000036000000}"/>
    <hyperlink ref="A33" location="'13.2.28'!A1" display="13.2.28" xr:uid="{00000000-0004-0000-0000-000037000000}"/>
    <hyperlink ref="F33" location="'13.2.28E'!A1" display="24,00" xr:uid="{00000000-0004-0000-0000-000038000000}"/>
    <hyperlink ref="A34" location="'13.2.29'!A1" display="13.2.29" xr:uid="{00000000-0004-0000-0000-000039000000}"/>
    <hyperlink ref="F34" location="'13.2.29E'!A1" display="6,00" xr:uid="{00000000-0004-0000-0000-00003A000000}"/>
    <hyperlink ref="A35" location="'13.2.30'!A1" display="13.2.30" xr:uid="{00000000-0004-0000-0000-00003B000000}"/>
    <hyperlink ref="F35" location="'13.2.30E'!A1" display="5,00" xr:uid="{00000000-0004-0000-0000-00003C000000}"/>
    <hyperlink ref="A36" location="'13.2.31'!A1" display="13.2.31" xr:uid="{00000000-0004-0000-0000-00003D000000}"/>
    <hyperlink ref="F36" location="'13.2.31E'!A1" display="12,00" xr:uid="{00000000-0004-0000-0000-00003E000000}"/>
    <hyperlink ref="A37" location="'13.2.32'!A1" display="13.2.32" xr:uid="{00000000-0004-0000-0000-00003F000000}"/>
    <hyperlink ref="F37" location="'13.2.32E'!A1" display="58,94" xr:uid="{00000000-0004-0000-0000-000040000000}"/>
    <hyperlink ref="A38" location="'13.2.33'!A1" display="13.2.33" xr:uid="{00000000-0004-0000-0000-000041000000}"/>
    <hyperlink ref="F38" location="'13.2.33E'!A1" display="4,00" xr:uid="{00000000-0004-0000-0000-000042000000}"/>
    <hyperlink ref="A39" location="'13.2.34'!A1" display="13.2.34" xr:uid="{00000000-0004-0000-0000-000043000000}"/>
    <hyperlink ref="F39" location="'13.2.34E'!A1" display="137,00" xr:uid="{00000000-0004-0000-0000-000044000000}"/>
    <hyperlink ref="A40" location="'13.2.35'!A1" display="13.2.35" xr:uid="{00000000-0004-0000-0000-000045000000}"/>
    <hyperlink ref="F40" location="'13.2.35E'!A1" display="48,00" xr:uid="{00000000-0004-0000-0000-000046000000}"/>
    <hyperlink ref="A41" location="'13.2.36'!A1" display="13.2.36" xr:uid="{00000000-0004-0000-0000-000047000000}"/>
    <hyperlink ref="F41" location="'13.2.36E'!A1" display="24,00" xr:uid="{00000000-0004-0000-0000-000048000000}"/>
    <hyperlink ref="A42" location="'13.2.37'!A1" display="13.2.37" xr:uid="{00000000-0004-0000-0000-000049000000}"/>
    <hyperlink ref="F42" location="'13.2.37E'!A1" display="11,00" xr:uid="{00000000-0004-0000-0000-00004A000000}"/>
    <hyperlink ref="A43" location="'13.2.38'!A1" display="13.2.38" xr:uid="{00000000-0004-0000-0000-00004B000000}"/>
    <hyperlink ref="F43" location="'13.2.38E'!A1" display="17,00" xr:uid="{00000000-0004-0000-0000-00004C000000}"/>
    <hyperlink ref="A44" location="'13.2.39'!A1" display="13.2.39" xr:uid="{00000000-0004-0000-0000-00004D000000}"/>
    <hyperlink ref="F44" location="'13.2.39E'!A1" display="2,00" xr:uid="{00000000-0004-0000-0000-00004E000000}"/>
    <hyperlink ref="A45" location="'13.2.40'!A1" display="13.2.40" xr:uid="{00000000-0004-0000-0000-00004F000000}"/>
    <hyperlink ref="F45" location="'13.2.40E'!A1" display="13,00" xr:uid="{00000000-0004-0000-0000-000050000000}"/>
    <hyperlink ref="A46" location="'13.2.41'!A1" display="13.2.41" xr:uid="{00000000-0004-0000-0000-000051000000}"/>
    <hyperlink ref="F46" location="'13.2.41E'!A1" display="72,00" xr:uid="{00000000-0004-0000-0000-000052000000}"/>
    <hyperlink ref="A47" location="'13.2.42'!A1" display="13.2.42" xr:uid="{00000000-0004-0000-0000-000053000000}"/>
    <hyperlink ref="F47" location="'13.2.42E'!A1" display="8,00" xr:uid="{00000000-0004-0000-0000-000054000000}"/>
    <hyperlink ref="A48" location="'13.2.43'!A1" display="13.2.43" xr:uid="{00000000-0004-0000-0000-000055000000}"/>
    <hyperlink ref="F48" location="'13.2.43E'!A1" display="22,00" xr:uid="{00000000-0004-0000-0000-000056000000}"/>
    <hyperlink ref="A49" location="'13.2.44'!A1" display="13.2.44" xr:uid="{00000000-0004-0000-0000-000057000000}"/>
    <hyperlink ref="F49" location="'13.2.44E'!A1" display="2,00" xr:uid="{00000000-0004-0000-0000-000058000000}"/>
    <hyperlink ref="A50" location="'13.2.45'!A1" display="13.2.45" xr:uid="{00000000-0004-0000-0000-000059000000}"/>
    <hyperlink ref="F50" location="'13.2.45E'!A1" display="4,00" xr:uid="{00000000-0004-0000-0000-00005A000000}"/>
    <hyperlink ref="A51" location="'13.2.46'!A1" display="13.2.46" xr:uid="{00000000-0004-0000-0000-00005B000000}"/>
    <hyperlink ref="F51" location="'13.2.46E'!A1" display="14,00" xr:uid="{00000000-0004-0000-0000-00005C000000}"/>
    <hyperlink ref="A52" location="'13.2.47'!A1" display="13.2.47" xr:uid="{00000000-0004-0000-0000-00005D000000}"/>
    <hyperlink ref="F52" location="'13.2.47E'!A1" display="17,00" xr:uid="{00000000-0004-0000-0000-00005E000000}"/>
    <hyperlink ref="A53" location="'13.2.48'!A1" display="13.2.48" xr:uid="{00000000-0004-0000-0000-00005F000000}"/>
    <hyperlink ref="F53" location="'13.2.48E'!A1" display="4,00" xr:uid="{00000000-0004-0000-0000-000060000000}"/>
  </hyperlink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43</v>
      </c>
      <c r="B2" s="5" t="s">
        <v>44</v>
      </c>
      <c r="C2" s="5" t="s">
        <v>14</v>
      </c>
      <c r="D2" s="5" t="s">
        <v>45</v>
      </c>
      <c r="E2" s="5" t="s">
        <v>16</v>
      </c>
      <c r="F2" s="5" t="s">
        <v>236</v>
      </c>
      <c r="G2" s="5">
        <v>68.771979999999999</v>
      </c>
      <c r="H2" s="5">
        <v>82.423218030000001</v>
      </c>
      <c r="I2" s="5">
        <v>3791.4680293800002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46</v>
      </c>
      <c r="D8" s="8" t="s">
        <v>231</v>
      </c>
      <c r="E8" s="8">
        <v>46</v>
      </c>
    </row>
    <row r="9" spans="1:9" x14ac:dyDescent="0.25">
      <c r="A9" s="8" t="s">
        <v>198</v>
      </c>
      <c r="B9" s="8" t="s">
        <v>198</v>
      </c>
      <c r="C9" s="8">
        <f>SUBTOTAL(109,Criteria_Summary13.2.8[Elementos])</f>
        <v>46</v>
      </c>
      <c r="D9" s="8" t="s">
        <v>198</v>
      </c>
      <c r="E9" s="8">
        <f>SUBTOTAL(109,Criteria_Summary13.2.8[Total])</f>
        <v>46</v>
      </c>
    </row>
    <row r="10" spans="1:9" x14ac:dyDescent="0.25">
      <c r="A10" s="9" t="s">
        <v>199</v>
      </c>
      <c r="B10" s="9">
        <v>0</v>
      </c>
      <c r="C10" s="10"/>
      <c r="D10" s="10"/>
      <c r="E10" s="9">
        <v>46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46</v>
      </c>
      <c r="C16" s="18" t="s">
        <v>232</v>
      </c>
      <c r="D16" s="18" t="s">
        <v>232</v>
      </c>
      <c r="E16" s="8">
        <v>46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237</v>
      </c>
      <c r="B24" s="18" t="s">
        <v>237</v>
      </c>
      <c r="C24" s="18" t="s">
        <v>237</v>
      </c>
      <c r="D24" s="8" t="s">
        <v>238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24.75" x14ac:dyDescent="0.25">
      <c r="A28" s="8" t="s">
        <v>211</v>
      </c>
      <c r="B28" s="8" t="s">
        <v>212</v>
      </c>
      <c r="C28" s="8" t="s">
        <v>239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8" xr:uid="{00000000-0004-0000-0900-000000000000}"/>
    <hyperlink ref="F2" location="'13.2.8E'!A1" display="46" xr:uid="{00000000-0004-0000-0900-000001000000}"/>
    <hyperlink ref="E10" location="'13.2.8E'!A1" display="'13.2.8E'!A1" xr:uid="{00000000-0004-0000-0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47</v>
      </c>
      <c r="B2" s="5" t="s">
        <v>48</v>
      </c>
      <c r="C2" s="5" t="s">
        <v>14</v>
      </c>
      <c r="D2" s="5" t="s">
        <v>49</v>
      </c>
      <c r="E2" s="5" t="s">
        <v>16</v>
      </c>
      <c r="F2" s="5" t="s">
        <v>191</v>
      </c>
      <c r="G2" s="5">
        <v>39.130000000000003</v>
      </c>
      <c r="H2" s="5">
        <v>46.89730500000001</v>
      </c>
      <c r="I2" s="5">
        <v>703.4595750000002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15</v>
      </c>
      <c r="D8" s="8" t="s">
        <v>231</v>
      </c>
      <c r="E8" s="8">
        <v>15</v>
      </c>
    </row>
    <row r="9" spans="1:9" x14ac:dyDescent="0.25">
      <c r="A9" s="8" t="s">
        <v>198</v>
      </c>
      <c r="B9" s="8" t="s">
        <v>198</v>
      </c>
      <c r="C9" s="8">
        <f>SUBTOTAL(109,Criteria_Summary13.2.9[Elementos])</f>
        <v>15</v>
      </c>
      <c r="D9" s="8" t="s">
        <v>198</v>
      </c>
      <c r="E9" s="8">
        <f>SUBTOTAL(109,Criteria_Summary13.2.9[Total])</f>
        <v>15</v>
      </c>
    </row>
    <row r="10" spans="1:9" x14ac:dyDescent="0.25">
      <c r="A10" s="9" t="s">
        <v>199</v>
      </c>
      <c r="B10" s="9">
        <v>0</v>
      </c>
      <c r="C10" s="10"/>
      <c r="D10" s="10"/>
      <c r="E10" s="9">
        <v>15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15</v>
      </c>
      <c r="C16" s="18" t="s">
        <v>232</v>
      </c>
      <c r="D16" s="18" t="s">
        <v>232</v>
      </c>
      <c r="E16" s="8">
        <v>15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240</v>
      </c>
      <c r="B24" s="18" t="s">
        <v>240</v>
      </c>
      <c r="C24" s="18" t="s">
        <v>240</v>
      </c>
      <c r="D24" s="8" t="s">
        <v>241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48.75" x14ac:dyDescent="0.25">
      <c r="A28" s="8" t="s">
        <v>211</v>
      </c>
      <c r="B28" s="8" t="s">
        <v>212</v>
      </c>
      <c r="C28" s="8" t="s">
        <v>242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9" xr:uid="{00000000-0004-0000-0A00-000000000000}"/>
    <hyperlink ref="F2" location="'13.2.9E'!A1" display="15" xr:uid="{00000000-0004-0000-0A00-000001000000}"/>
    <hyperlink ref="E10" location="'13.2.9E'!A1" display="'13.2.9E'!A1" xr:uid="{00000000-0004-0000-0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50</v>
      </c>
      <c r="B2" s="5" t="s">
        <v>51</v>
      </c>
      <c r="C2" s="5" t="s">
        <v>14</v>
      </c>
      <c r="D2" s="5" t="s">
        <v>52</v>
      </c>
      <c r="E2" s="5" t="s">
        <v>16</v>
      </c>
      <c r="F2" s="5" t="s">
        <v>216</v>
      </c>
      <c r="G2" s="5">
        <v>51.671979999999998</v>
      </c>
      <c r="H2" s="5">
        <v>61.928868030000004</v>
      </c>
      <c r="I2" s="5">
        <v>123.85773606000001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2</v>
      </c>
      <c r="D8" s="8" t="s">
        <v>231</v>
      </c>
      <c r="E8" s="8">
        <v>2</v>
      </c>
    </row>
    <row r="9" spans="1:9" x14ac:dyDescent="0.25">
      <c r="A9" s="8" t="s">
        <v>198</v>
      </c>
      <c r="B9" s="8" t="s">
        <v>198</v>
      </c>
      <c r="C9" s="8">
        <f>SUBTOTAL(109,Criteria_Summary13.2.10[Elementos])</f>
        <v>2</v>
      </c>
      <c r="D9" s="8" t="s">
        <v>198</v>
      </c>
      <c r="E9" s="8">
        <f>SUBTOTAL(109,Criteria_Summary13.2.10[Total])</f>
        <v>2</v>
      </c>
    </row>
    <row r="10" spans="1:9" x14ac:dyDescent="0.25">
      <c r="A10" s="9" t="s">
        <v>199</v>
      </c>
      <c r="B10" s="9">
        <v>0</v>
      </c>
      <c r="C10" s="10"/>
      <c r="D10" s="10"/>
      <c r="E10" s="9">
        <v>2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2</v>
      </c>
      <c r="C16" s="18" t="s">
        <v>232</v>
      </c>
      <c r="D16" s="18" t="s">
        <v>232</v>
      </c>
      <c r="E16" s="8">
        <v>2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243</v>
      </c>
      <c r="B24" s="18" t="s">
        <v>243</v>
      </c>
      <c r="C24" s="18" t="s">
        <v>243</v>
      </c>
      <c r="D24" s="8" t="s">
        <v>244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48.75" x14ac:dyDescent="0.25">
      <c r="A28" s="8" t="s">
        <v>211</v>
      </c>
      <c r="B28" s="8" t="s">
        <v>212</v>
      </c>
      <c r="C28" s="8" t="s">
        <v>245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10" xr:uid="{00000000-0004-0000-0B00-000000000000}"/>
    <hyperlink ref="F2" location="'13.2.10E'!A1" display="2" xr:uid="{00000000-0004-0000-0B00-000001000000}"/>
    <hyperlink ref="E10" location="'13.2.10E'!A1" display="'13.2.10E'!A1" xr:uid="{00000000-0004-0000-0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FF0D8"/>
  </sheetPr>
  <dimension ref="A1:I46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53</v>
      </c>
      <c r="B2" s="5" t="s">
        <v>54</v>
      </c>
      <c r="C2" s="5" t="s">
        <v>14</v>
      </c>
      <c r="D2" s="5" t="s">
        <v>55</v>
      </c>
      <c r="E2" s="5" t="s">
        <v>16</v>
      </c>
      <c r="F2" s="5" t="s">
        <v>246</v>
      </c>
      <c r="G2" s="5">
        <v>64.117310000000003</v>
      </c>
      <c r="H2" s="5">
        <v>76.844596035000009</v>
      </c>
      <c r="I2" s="5">
        <v>1229.5135365600001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12</v>
      </c>
      <c r="D8" s="8" t="s">
        <v>231</v>
      </c>
      <c r="E8" s="8">
        <v>12</v>
      </c>
    </row>
    <row r="9" spans="1:9" x14ac:dyDescent="0.25">
      <c r="A9" s="8">
        <v>2</v>
      </c>
      <c r="B9" s="8" t="s">
        <v>196</v>
      </c>
      <c r="C9" s="8">
        <v>4</v>
      </c>
      <c r="D9" s="8" t="s">
        <v>231</v>
      </c>
      <c r="E9" s="8">
        <v>4</v>
      </c>
    </row>
    <row r="10" spans="1:9" x14ac:dyDescent="0.25">
      <c r="A10" s="8" t="s">
        <v>198</v>
      </c>
      <c r="B10" s="8" t="s">
        <v>198</v>
      </c>
      <c r="C10" s="8">
        <f>SUBTOTAL(109,Criteria_Summary13.2.11[Elementos])</f>
        <v>16</v>
      </c>
      <c r="D10" s="8" t="s">
        <v>198</v>
      </c>
      <c r="E10" s="8">
        <f>SUBTOTAL(109,Criteria_Summary13.2.11[Total])</f>
        <v>16</v>
      </c>
    </row>
    <row r="11" spans="1:9" x14ac:dyDescent="0.25">
      <c r="A11" s="9" t="s">
        <v>199</v>
      </c>
      <c r="B11" s="9">
        <v>0</v>
      </c>
      <c r="C11" s="10"/>
      <c r="D11" s="10"/>
      <c r="E11" s="9">
        <v>16</v>
      </c>
    </row>
    <row r="14" spans="1:9" x14ac:dyDescent="0.25">
      <c r="A14" s="15" t="s">
        <v>231</v>
      </c>
      <c r="B14" s="15" t="s">
        <v>231</v>
      </c>
      <c r="C14" s="15" t="s">
        <v>231</v>
      </c>
      <c r="D14" s="15" t="s">
        <v>231</v>
      </c>
      <c r="E14" s="15" t="s">
        <v>231</v>
      </c>
    </row>
    <row r="15" spans="1:9" x14ac:dyDescent="0.25">
      <c r="A15" s="16"/>
      <c r="B15" s="16"/>
      <c r="C15" s="16"/>
      <c r="D15" s="16"/>
      <c r="E15" s="16"/>
    </row>
    <row r="16" spans="1:9" x14ac:dyDescent="0.25">
      <c r="A16" s="11" t="s">
        <v>193</v>
      </c>
      <c r="B16" s="11" t="s">
        <v>194</v>
      </c>
      <c r="C16" s="17" t="s">
        <v>200</v>
      </c>
      <c r="D16" s="17" t="s">
        <v>200</v>
      </c>
      <c r="E16" s="11" t="s">
        <v>9</v>
      </c>
    </row>
    <row r="17" spans="1:5" x14ac:dyDescent="0.25">
      <c r="A17" s="8" t="s">
        <v>196</v>
      </c>
      <c r="B17" s="8">
        <v>12</v>
      </c>
      <c r="C17" s="18" t="s">
        <v>232</v>
      </c>
      <c r="D17" s="18" t="s">
        <v>232</v>
      </c>
      <c r="E17" s="8">
        <v>12</v>
      </c>
    </row>
    <row r="19" spans="1:5" x14ac:dyDescent="0.25">
      <c r="A19" s="19" t="s">
        <v>221</v>
      </c>
      <c r="B19" s="19" t="s">
        <v>221</v>
      </c>
      <c r="C19" s="19" t="s">
        <v>221</v>
      </c>
      <c r="D19" s="19" t="s">
        <v>221</v>
      </c>
      <c r="E19" s="19" t="s">
        <v>221</v>
      </c>
    </row>
    <row r="20" spans="1:5" x14ac:dyDescent="0.25">
      <c r="A20" s="17" t="s">
        <v>222</v>
      </c>
      <c r="B20" s="17" t="s">
        <v>222</v>
      </c>
      <c r="C20" s="17" t="s">
        <v>222</v>
      </c>
      <c r="D20" s="11" t="s">
        <v>223</v>
      </c>
      <c r="E20" s="11"/>
    </row>
    <row r="21" spans="1:5" x14ac:dyDescent="0.25">
      <c r="A21" s="8"/>
      <c r="B21" s="8"/>
      <c r="C21" s="8"/>
      <c r="D21" s="8" t="s">
        <v>224</v>
      </c>
      <c r="E21" s="8" t="s">
        <v>206</v>
      </c>
    </row>
    <row r="23" spans="1:5" x14ac:dyDescent="0.25">
      <c r="A23" s="19" t="s">
        <v>202</v>
      </c>
      <c r="B23" s="19" t="s">
        <v>202</v>
      </c>
      <c r="C23" s="19" t="s">
        <v>202</v>
      </c>
      <c r="D23" s="19" t="s">
        <v>202</v>
      </c>
      <c r="E23" s="19" t="s">
        <v>202</v>
      </c>
    </row>
    <row r="24" spans="1:5" x14ac:dyDescent="0.25">
      <c r="A24" s="17" t="s">
        <v>203</v>
      </c>
      <c r="B24" s="11"/>
      <c r="C24" s="11"/>
      <c r="D24" s="11" t="s">
        <v>193</v>
      </c>
      <c r="E24" s="11"/>
    </row>
    <row r="25" spans="1:5" x14ac:dyDescent="0.25">
      <c r="A25" s="18" t="s">
        <v>243</v>
      </c>
      <c r="B25" s="18" t="s">
        <v>243</v>
      </c>
      <c r="C25" s="18" t="s">
        <v>243</v>
      </c>
      <c r="D25" s="8" t="s">
        <v>247</v>
      </c>
      <c r="E25" s="8" t="s">
        <v>206</v>
      </c>
    </row>
    <row r="27" spans="1:5" x14ac:dyDescent="0.25">
      <c r="A27" s="19" t="s">
        <v>207</v>
      </c>
      <c r="B27" s="19" t="s">
        <v>207</v>
      </c>
      <c r="C27" s="19" t="s">
        <v>207</v>
      </c>
      <c r="D27" s="19" t="s">
        <v>207</v>
      </c>
      <c r="E27" s="19" t="s">
        <v>207</v>
      </c>
    </row>
    <row r="28" spans="1:5" x14ac:dyDescent="0.25">
      <c r="A28" s="11" t="s">
        <v>193</v>
      </c>
      <c r="B28" s="11" t="s">
        <v>208</v>
      </c>
      <c r="C28" s="11" t="s">
        <v>209</v>
      </c>
      <c r="D28" s="11" t="s">
        <v>210</v>
      </c>
      <c r="E28" s="11"/>
    </row>
    <row r="29" spans="1:5" ht="48.75" x14ac:dyDescent="0.25">
      <c r="A29" s="8" t="s">
        <v>211</v>
      </c>
      <c r="B29" s="8" t="s">
        <v>212</v>
      </c>
      <c r="C29" s="8" t="s">
        <v>248</v>
      </c>
      <c r="D29" s="8" t="s">
        <v>214</v>
      </c>
      <c r="E29" s="8" t="s">
        <v>215</v>
      </c>
    </row>
    <row r="31" spans="1:5" x14ac:dyDescent="0.25">
      <c r="A31" s="15" t="s">
        <v>231</v>
      </c>
      <c r="B31" s="15" t="s">
        <v>231</v>
      </c>
      <c r="C31" s="15" t="s">
        <v>231</v>
      </c>
      <c r="D31" s="15" t="s">
        <v>231</v>
      </c>
      <c r="E31" s="15" t="s">
        <v>231</v>
      </c>
    </row>
    <row r="32" spans="1:5" x14ac:dyDescent="0.25">
      <c r="A32" s="16"/>
      <c r="B32" s="16"/>
      <c r="C32" s="16"/>
      <c r="D32" s="16"/>
      <c r="E32" s="16"/>
    </row>
    <row r="33" spans="1:5" x14ac:dyDescent="0.25">
      <c r="A33" s="11" t="s">
        <v>193</v>
      </c>
      <c r="B33" s="11" t="s">
        <v>194</v>
      </c>
      <c r="C33" s="17" t="s">
        <v>200</v>
      </c>
      <c r="D33" s="17" t="s">
        <v>200</v>
      </c>
      <c r="E33" s="11" t="s">
        <v>9</v>
      </c>
    </row>
    <row r="34" spans="1:5" x14ac:dyDescent="0.25">
      <c r="A34" s="8" t="s">
        <v>196</v>
      </c>
      <c r="B34" s="8">
        <v>4</v>
      </c>
      <c r="C34" s="18" t="s">
        <v>232</v>
      </c>
      <c r="D34" s="18" t="s">
        <v>232</v>
      </c>
      <c r="E34" s="8">
        <v>4</v>
      </c>
    </row>
    <row r="36" spans="1:5" x14ac:dyDescent="0.25">
      <c r="A36" s="19" t="s">
        <v>221</v>
      </c>
      <c r="B36" s="19" t="s">
        <v>221</v>
      </c>
      <c r="C36" s="19" t="s">
        <v>221</v>
      </c>
      <c r="D36" s="19" t="s">
        <v>221</v>
      </c>
      <c r="E36" s="19" t="s">
        <v>221</v>
      </c>
    </row>
    <row r="37" spans="1:5" x14ac:dyDescent="0.25">
      <c r="A37" s="17" t="s">
        <v>222</v>
      </c>
      <c r="B37" s="17" t="s">
        <v>222</v>
      </c>
      <c r="C37" s="17" t="s">
        <v>222</v>
      </c>
      <c r="D37" s="11" t="s">
        <v>223</v>
      </c>
      <c r="E37" s="11"/>
    </row>
    <row r="38" spans="1:5" x14ac:dyDescent="0.25">
      <c r="A38" s="8"/>
      <c r="B38" s="8"/>
      <c r="C38" s="8"/>
      <c r="D38" s="8" t="s">
        <v>224</v>
      </c>
      <c r="E38" s="8" t="s">
        <v>206</v>
      </c>
    </row>
    <row r="40" spans="1:5" x14ac:dyDescent="0.25">
      <c r="A40" s="19" t="s">
        <v>202</v>
      </c>
      <c r="B40" s="19" t="s">
        <v>202</v>
      </c>
      <c r="C40" s="19" t="s">
        <v>202</v>
      </c>
      <c r="D40" s="19" t="s">
        <v>202</v>
      </c>
      <c r="E40" s="19" t="s">
        <v>202</v>
      </c>
    </row>
    <row r="41" spans="1:5" x14ac:dyDescent="0.25">
      <c r="A41" s="17" t="s">
        <v>203</v>
      </c>
      <c r="B41" s="11"/>
      <c r="C41" s="11"/>
      <c r="D41" s="11" t="s">
        <v>193</v>
      </c>
      <c r="E41" s="11"/>
    </row>
    <row r="42" spans="1:5" x14ac:dyDescent="0.25">
      <c r="A42" s="18" t="s">
        <v>243</v>
      </c>
      <c r="B42" s="18" t="s">
        <v>243</v>
      </c>
      <c r="C42" s="18" t="s">
        <v>243</v>
      </c>
      <c r="D42" s="8" t="s">
        <v>249</v>
      </c>
      <c r="E42" s="8" t="s">
        <v>206</v>
      </c>
    </row>
    <row r="44" spans="1:5" x14ac:dyDescent="0.25">
      <c r="A44" s="19" t="s">
        <v>207</v>
      </c>
      <c r="B44" s="19" t="s">
        <v>207</v>
      </c>
      <c r="C44" s="19" t="s">
        <v>207</v>
      </c>
      <c r="D44" s="19" t="s">
        <v>207</v>
      </c>
      <c r="E44" s="19" t="s">
        <v>207</v>
      </c>
    </row>
    <row r="45" spans="1:5" x14ac:dyDescent="0.25">
      <c r="A45" s="11" t="s">
        <v>193</v>
      </c>
      <c r="B45" s="11" t="s">
        <v>208</v>
      </c>
      <c r="C45" s="11" t="s">
        <v>209</v>
      </c>
      <c r="D45" s="11" t="s">
        <v>210</v>
      </c>
      <c r="E45" s="11"/>
    </row>
    <row r="46" spans="1:5" ht="60.75" x14ac:dyDescent="0.25">
      <c r="A46" s="8" t="s">
        <v>193</v>
      </c>
      <c r="B46" s="8" t="s">
        <v>212</v>
      </c>
      <c r="C46" s="8" t="s">
        <v>250</v>
      </c>
      <c r="D46" s="8" t="s">
        <v>4</v>
      </c>
      <c r="E46" s="8" t="s">
        <v>215</v>
      </c>
    </row>
  </sheetData>
  <mergeCells count="22">
    <mergeCell ref="A42:C42"/>
    <mergeCell ref="A44:E44"/>
    <mergeCell ref="C34:D34"/>
    <mergeCell ref="A36:E36"/>
    <mergeCell ref="A37:C37"/>
    <mergeCell ref="A40:E40"/>
    <mergeCell ref="A41"/>
    <mergeCell ref="A25:C25"/>
    <mergeCell ref="A27:E27"/>
    <mergeCell ref="A31:E31"/>
    <mergeCell ref="A32:E32"/>
    <mergeCell ref="C33:D33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3.2'!A1" display="13.2.11" xr:uid="{00000000-0004-0000-0C00-000000000000}"/>
    <hyperlink ref="F2" location="'13.2.11E'!A1" display="16" xr:uid="{00000000-0004-0000-0C00-000001000000}"/>
    <hyperlink ref="E11" location="'13.2.11E'!A1" display="'13.2.11E'!A1" xr:uid="{00000000-0004-0000-0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FF0D8"/>
  </sheetPr>
  <dimension ref="A1:I46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57</v>
      </c>
      <c r="B2" s="5" t="s">
        <v>58</v>
      </c>
      <c r="C2" s="5" t="s">
        <v>14</v>
      </c>
      <c r="D2" s="5" t="s">
        <v>59</v>
      </c>
      <c r="E2" s="5" t="s">
        <v>16</v>
      </c>
      <c r="F2" s="5" t="s">
        <v>251</v>
      </c>
      <c r="G2" s="5">
        <v>78.657309999999995</v>
      </c>
      <c r="H2" s="5">
        <v>94.270786035</v>
      </c>
      <c r="I2" s="5">
        <v>942.70786035000003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6</v>
      </c>
      <c r="D8" s="8" t="s">
        <v>231</v>
      </c>
      <c r="E8" s="8">
        <v>6</v>
      </c>
    </row>
    <row r="9" spans="1:9" x14ac:dyDescent="0.25">
      <c r="A9" s="8">
        <v>2</v>
      </c>
      <c r="B9" s="8" t="s">
        <v>196</v>
      </c>
      <c r="C9" s="8">
        <v>4</v>
      </c>
      <c r="D9" s="8" t="s">
        <v>231</v>
      </c>
      <c r="E9" s="8">
        <v>4</v>
      </c>
    </row>
    <row r="10" spans="1:9" x14ac:dyDescent="0.25">
      <c r="A10" s="8" t="s">
        <v>198</v>
      </c>
      <c r="B10" s="8" t="s">
        <v>198</v>
      </c>
      <c r="C10" s="8">
        <f>SUBTOTAL(109,Criteria_Summary13.2.12[Elementos])</f>
        <v>10</v>
      </c>
      <c r="D10" s="8" t="s">
        <v>198</v>
      </c>
      <c r="E10" s="8">
        <f>SUBTOTAL(109,Criteria_Summary13.2.12[Total])</f>
        <v>10</v>
      </c>
    </row>
    <row r="11" spans="1:9" ht="30" x14ac:dyDescent="0.25">
      <c r="A11" s="9" t="s">
        <v>252</v>
      </c>
      <c r="B11" s="9">
        <v>1</v>
      </c>
      <c r="C11" s="10"/>
      <c r="D11" s="10"/>
      <c r="E11" s="9">
        <v>10</v>
      </c>
    </row>
    <row r="14" spans="1:9" x14ac:dyDescent="0.25">
      <c r="A14" s="15" t="s">
        <v>231</v>
      </c>
      <c r="B14" s="15" t="s">
        <v>231</v>
      </c>
      <c r="C14" s="15" t="s">
        <v>231</v>
      </c>
      <c r="D14" s="15" t="s">
        <v>231</v>
      </c>
      <c r="E14" s="15" t="s">
        <v>231</v>
      </c>
    </row>
    <row r="15" spans="1:9" x14ac:dyDescent="0.25">
      <c r="A15" s="16"/>
      <c r="B15" s="16"/>
      <c r="C15" s="16"/>
      <c r="D15" s="16"/>
      <c r="E15" s="16"/>
    </row>
    <row r="16" spans="1:9" x14ac:dyDescent="0.25">
      <c r="A16" s="11" t="s">
        <v>193</v>
      </c>
      <c r="B16" s="11" t="s">
        <v>194</v>
      </c>
      <c r="C16" s="17" t="s">
        <v>200</v>
      </c>
      <c r="D16" s="17" t="s">
        <v>200</v>
      </c>
      <c r="E16" s="11" t="s">
        <v>9</v>
      </c>
    </row>
    <row r="17" spans="1:5" x14ac:dyDescent="0.25">
      <c r="A17" s="8" t="s">
        <v>196</v>
      </c>
      <c r="B17" s="8">
        <v>6</v>
      </c>
      <c r="C17" s="18" t="s">
        <v>232</v>
      </c>
      <c r="D17" s="18" t="s">
        <v>232</v>
      </c>
      <c r="E17" s="8">
        <v>6</v>
      </c>
    </row>
    <row r="19" spans="1:5" x14ac:dyDescent="0.25">
      <c r="A19" s="19" t="s">
        <v>221</v>
      </c>
      <c r="B19" s="19" t="s">
        <v>221</v>
      </c>
      <c r="C19" s="19" t="s">
        <v>221</v>
      </c>
      <c r="D19" s="19" t="s">
        <v>221</v>
      </c>
      <c r="E19" s="19" t="s">
        <v>221</v>
      </c>
    </row>
    <row r="20" spans="1:5" x14ac:dyDescent="0.25">
      <c r="A20" s="17" t="s">
        <v>222</v>
      </c>
      <c r="B20" s="17" t="s">
        <v>222</v>
      </c>
      <c r="C20" s="17" t="s">
        <v>222</v>
      </c>
      <c r="D20" s="11" t="s">
        <v>223</v>
      </c>
      <c r="E20" s="11"/>
    </row>
    <row r="21" spans="1:5" x14ac:dyDescent="0.25">
      <c r="A21" s="8"/>
      <c r="B21" s="8"/>
      <c r="C21" s="8"/>
      <c r="D21" s="8" t="s">
        <v>224</v>
      </c>
      <c r="E21" s="8" t="s">
        <v>206</v>
      </c>
    </row>
    <row r="23" spans="1:5" x14ac:dyDescent="0.25">
      <c r="A23" s="19" t="s">
        <v>202</v>
      </c>
      <c r="B23" s="19" t="s">
        <v>202</v>
      </c>
      <c r="C23" s="19" t="s">
        <v>202</v>
      </c>
      <c r="D23" s="19" t="s">
        <v>202</v>
      </c>
      <c r="E23" s="19" t="s">
        <v>202</v>
      </c>
    </row>
    <row r="24" spans="1:5" x14ac:dyDescent="0.25">
      <c r="A24" s="17" t="s">
        <v>203</v>
      </c>
      <c r="B24" s="11"/>
      <c r="C24" s="11"/>
      <c r="D24" s="11" t="s">
        <v>193</v>
      </c>
      <c r="E24" s="11"/>
    </row>
    <row r="25" spans="1:5" x14ac:dyDescent="0.25">
      <c r="A25" s="18" t="s">
        <v>243</v>
      </c>
      <c r="B25" s="18" t="s">
        <v>243</v>
      </c>
      <c r="C25" s="18" t="s">
        <v>243</v>
      </c>
      <c r="D25" s="8" t="s">
        <v>253</v>
      </c>
      <c r="E25" s="8" t="s">
        <v>206</v>
      </c>
    </row>
    <row r="27" spans="1:5" x14ac:dyDescent="0.25">
      <c r="A27" s="19" t="s">
        <v>207</v>
      </c>
      <c r="B27" s="19" t="s">
        <v>207</v>
      </c>
      <c r="C27" s="19" t="s">
        <v>207</v>
      </c>
      <c r="D27" s="19" t="s">
        <v>207</v>
      </c>
      <c r="E27" s="19" t="s">
        <v>207</v>
      </c>
    </row>
    <row r="28" spans="1:5" x14ac:dyDescent="0.25">
      <c r="A28" s="11" t="s">
        <v>193</v>
      </c>
      <c r="B28" s="11" t="s">
        <v>208</v>
      </c>
      <c r="C28" s="11" t="s">
        <v>209</v>
      </c>
      <c r="D28" s="11" t="s">
        <v>210</v>
      </c>
      <c r="E28" s="11"/>
    </row>
    <row r="29" spans="1:5" ht="48.75" x14ac:dyDescent="0.25">
      <c r="A29" s="8" t="s">
        <v>211</v>
      </c>
      <c r="B29" s="8" t="s">
        <v>212</v>
      </c>
      <c r="C29" s="8" t="s">
        <v>254</v>
      </c>
      <c r="D29" s="8" t="s">
        <v>214</v>
      </c>
      <c r="E29" s="8" t="s">
        <v>215</v>
      </c>
    </row>
    <row r="31" spans="1:5" x14ac:dyDescent="0.25">
      <c r="A31" s="15" t="s">
        <v>231</v>
      </c>
      <c r="B31" s="15" t="s">
        <v>231</v>
      </c>
      <c r="C31" s="15" t="s">
        <v>231</v>
      </c>
      <c r="D31" s="15" t="s">
        <v>231</v>
      </c>
      <c r="E31" s="15" t="s">
        <v>231</v>
      </c>
    </row>
    <row r="32" spans="1:5" x14ac:dyDescent="0.25">
      <c r="A32" s="16"/>
      <c r="B32" s="16"/>
      <c r="C32" s="16"/>
      <c r="D32" s="16"/>
      <c r="E32" s="16"/>
    </row>
    <row r="33" spans="1:5" x14ac:dyDescent="0.25">
      <c r="A33" s="11" t="s">
        <v>193</v>
      </c>
      <c r="B33" s="11" t="s">
        <v>194</v>
      </c>
      <c r="C33" s="17" t="s">
        <v>200</v>
      </c>
      <c r="D33" s="17" t="s">
        <v>200</v>
      </c>
      <c r="E33" s="11" t="s">
        <v>9</v>
      </c>
    </row>
    <row r="34" spans="1:5" x14ac:dyDescent="0.25">
      <c r="A34" s="8" t="s">
        <v>196</v>
      </c>
      <c r="B34" s="8">
        <v>4</v>
      </c>
      <c r="C34" s="18" t="s">
        <v>232</v>
      </c>
      <c r="D34" s="18" t="s">
        <v>232</v>
      </c>
      <c r="E34" s="8">
        <v>4</v>
      </c>
    </row>
    <row r="36" spans="1:5" x14ac:dyDescent="0.25">
      <c r="A36" s="19" t="s">
        <v>221</v>
      </c>
      <c r="B36" s="19" t="s">
        <v>221</v>
      </c>
      <c r="C36" s="19" t="s">
        <v>221</v>
      </c>
      <c r="D36" s="19" t="s">
        <v>221</v>
      </c>
      <c r="E36" s="19" t="s">
        <v>221</v>
      </c>
    </row>
    <row r="37" spans="1:5" x14ac:dyDescent="0.25">
      <c r="A37" s="17" t="s">
        <v>222</v>
      </c>
      <c r="B37" s="17" t="s">
        <v>222</v>
      </c>
      <c r="C37" s="17" t="s">
        <v>222</v>
      </c>
      <c r="D37" s="11" t="s">
        <v>223</v>
      </c>
      <c r="E37" s="11"/>
    </row>
    <row r="38" spans="1:5" x14ac:dyDescent="0.25">
      <c r="A38" s="8"/>
      <c r="B38" s="8"/>
      <c r="C38" s="8"/>
      <c r="D38" s="8" t="s">
        <v>224</v>
      </c>
      <c r="E38" s="8" t="s">
        <v>206</v>
      </c>
    </row>
    <row r="40" spans="1:5" x14ac:dyDescent="0.25">
      <c r="A40" s="19" t="s">
        <v>202</v>
      </c>
      <c r="B40" s="19" t="s">
        <v>202</v>
      </c>
      <c r="C40" s="19" t="s">
        <v>202</v>
      </c>
      <c r="D40" s="19" t="s">
        <v>202</v>
      </c>
      <c r="E40" s="19" t="s">
        <v>202</v>
      </c>
    </row>
    <row r="41" spans="1:5" x14ac:dyDescent="0.25">
      <c r="A41" s="17" t="s">
        <v>203</v>
      </c>
      <c r="B41" s="11"/>
      <c r="C41" s="11"/>
      <c r="D41" s="11" t="s">
        <v>193</v>
      </c>
      <c r="E41" s="11"/>
    </row>
    <row r="42" spans="1:5" x14ac:dyDescent="0.25">
      <c r="A42" s="18" t="s">
        <v>243</v>
      </c>
      <c r="B42" s="18" t="s">
        <v>243</v>
      </c>
      <c r="C42" s="18" t="s">
        <v>243</v>
      </c>
      <c r="D42" s="8" t="s">
        <v>255</v>
      </c>
      <c r="E42" s="8" t="s">
        <v>206</v>
      </c>
    </row>
    <row r="44" spans="1:5" x14ac:dyDescent="0.25">
      <c r="A44" s="19" t="s">
        <v>207</v>
      </c>
      <c r="B44" s="19" t="s">
        <v>207</v>
      </c>
      <c r="C44" s="19" t="s">
        <v>207</v>
      </c>
      <c r="D44" s="19" t="s">
        <v>207</v>
      </c>
      <c r="E44" s="19" t="s">
        <v>207</v>
      </c>
    </row>
    <row r="45" spans="1:5" x14ac:dyDescent="0.25">
      <c r="A45" s="11" t="s">
        <v>193</v>
      </c>
      <c r="B45" s="11" t="s">
        <v>208</v>
      </c>
      <c r="C45" s="11" t="s">
        <v>209</v>
      </c>
      <c r="D45" s="11" t="s">
        <v>210</v>
      </c>
      <c r="E45" s="11"/>
    </row>
    <row r="46" spans="1:5" ht="60.75" x14ac:dyDescent="0.25">
      <c r="A46" s="8" t="s">
        <v>193</v>
      </c>
      <c r="B46" s="8" t="s">
        <v>212</v>
      </c>
      <c r="C46" s="8" t="s">
        <v>256</v>
      </c>
      <c r="D46" s="8" t="s">
        <v>4</v>
      </c>
      <c r="E46" s="8" t="s">
        <v>215</v>
      </c>
    </row>
  </sheetData>
  <mergeCells count="22">
    <mergeCell ref="A42:C42"/>
    <mergeCell ref="A44:E44"/>
    <mergeCell ref="C34:D34"/>
    <mergeCell ref="A36:E36"/>
    <mergeCell ref="A37:C37"/>
    <mergeCell ref="A40:E40"/>
    <mergeCell ref="A41"/>
    <mergeCell ref="A25:C25"/>
    <mergeCell ref="A27:E27"/>
    <mergeCell ref="A31:E31"/>
    <mergeCell ref="A32:E32"/>
    <mergeCell ref="C33:D33"/>
    <mergeCell ref="C17:D17"/>
    <mergeCell ref="A19:E19"/>
    <mergeCell ref="A20:C20"/>
    <mergeCell ref="A23:E23"/>
    <mergeCell ref="A24"/>
    <mergeCell ref="A5:E5"/>
    <mergeCell ref="A6:E6"/>
    <mergeCell ref="A14:E14"/>
    <mergeCell ref="A15:E15"/>
    <mergeCell ref="C16:D16"/>
  </mergeCells>
  <hyperlinks>
    <hyperlink ref="A2" location="'13.2'!A1" display="13.2.12" xr:uid="{00000000-0004-0000-0D00-000000000000}"/>
    <hyperlink ref="F2" location="'13.2.12E'!A1" display="10" xr:uid="{00000000-0004-0000-0D00-000001000000}"/>
    <hyperlink ref="E11" location="'13.2.12E'!A1" display="'13.2.12E'!A1" xr:uid="{00000000-0004-0000-0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61</v>
      </c>
      <c r="B2" s="5" t="s">
        <v>62</v>
      </c>
      <c r="C2" s="5" t="s">
        <v>14</v>
      </c>
      <c r="D2" s="5" t="s">
        <v>63</v>
      </c>
      <c r="E2" s="5" t="s">
        <v>16</v>
      </c>
      <c r="F2" s="5" t="s">
        <v>257</v>
      </c>
      <c r="G2" s="5">
        <v>9.2899999999999991</v>
      </c>
      <c r="H2" s="5">
        <v>11.134065</v>
      </c>
      <c r="I2" s="5">
        <v>200.41316999999998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18</v>
      </c>
      <c r="D8" s="8" t="s">
        <v>258</v>
      </c>
      <c r="E8" s="8">
        <v>18</v>
      </c>
    </row>
    <row r="9" spans="1:9" x14ac:dyDescent="0.25">
      <c r="A9" s="8" t="s">
        <v>198</v>
      </c>
      <c r="B9" s="8" t="s">
        <v>198</v>
      </c>
      <c r="C9" s="8">
        <f>SUBTOTAL(109,Criteria_Summary13.2.13[Elementos])</f>
        <v>18</v>
      </c>
      <c r="D9" s="8" t="s">
        <v>198</v>
      </c>
      <c r="E9" s="8">
        <f>SUBTOTAL(109,Criteria_Summary13.2.13[Total])</f>
        <v>18</v>
      </c>
    </row>
    <row r="10" spans="1:9" x14ac:dyDescent="0.25">
      <c r="A10" s="9" t="s">
        <v>199</v>
      </c>
      <c r="B10" s="9">
        <v>0</v>
      </c>
      <c r="C10" s="10"/>
      <c r="D10" s="10"/>
      <c r="E10" s="9">
        <v>18</v>
      </c>
    </row>
    <row r="13" spans="1:9" x14ac:dyDescent="0.25">
      <c r="A13" s="15" t="s">
        <v>258</v>
      </c>
      <c r="B13" s="15" t="s">
        <v>258</v>
      </c>
      <c r="C13" s="15" t="s">
        <v>258</v>
      </c>
      <c r="D13" s="15" t="s">
        <v>258</v>
      </c>
      <c r="E13" s="15" t="s">
        <v>258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18</v>
      </c>
      <c r="C16" s="18" t="s">
        <v>201</v>
      </c>
      <c r="D16" s="18" t="s">
        <v>201</v>
      </c>
      <c r="E16" s="8">
        <v>18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72.75" x14ac:dyDescent="0.25">
      <c r="A20" s="8" t="s">
        <v>211</v>
      </c>
      <c r="B20" s="8" t="s">
        <v>212</v>
      </c>
      <c r="C20" s="8" t="s">
        <v>259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13" xr:uid="{00000000-0004-0000-0E00-000000000000}"/>
    <hyperlink ref="F2" location="'13.2.13E'!A1" display="18" xr:uid="{00000000-0004-0000-0E00-000001000000}"/>
    <hyperlink ref="E10" location="'13.2.13E'!A1" display="'13.2.13E'!A1" xr:uid="{00000000-0004-0000-0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65</v>
      </c>
      <c r="B2" s="5" t="s">
        <v>66</v>
      </c>
      <c r="C2" s="5" t="s">
        <v>14</v>
      </c>
      <c r="D2" s="5" t="s">
        <v>67</v>
      </c>
      <c r="E2" s="5" t="s">
        <v>16</v>
      </c>
      <c r="F2" s="5" t="s">
        <v>260</v>
      </c>
      <c r="G2" s="5">
        <v>1.25</v>
      </c>
      <c r="H2" s="5">
        <v>1.4981250000000002</v>
      </c>
      <c r="I2" s="5">
        <v>50.936250000000008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34</v>
      </c>
      <c r="D8" s="8" t="s">
        <v>258</v>
      </c>
      <c r="E8" s="8">
        <v>34</v>
      </c>
    </row>
    <row r="9" spans="1:9" x14ac:dyDescent="0.25">
      <c r="A9" s="8" t="s">
        <v>198</v>
      </c>
      <c r="B9" s="8" t="s">
        <v>198</v>
      </c>
      <c r="C9" s="8">
        <f>SUBTOTAL(109,Criteria_Summary13.2.14[Elementos])</f>
        <v>34</v>
      </c>
      <c r="D9" s="8" t="s">
        <v>198</v>
      </c>
      <c r="E9" s="8">
        <f>SUBTOTAL(109,Criteria_Summary13.2.14[Total])</f>
        <v>34</v>
      </c>
    </row>
    <row r="10" spans="1:9" x14ac:dyDescent="0.25">
      <c r="A10" s="9" t="s">
        <v>199</v>
      </c>
      <c r="B10" s="9">
        <v>0</v>
      </c>
      <c r="C10" s="10"/>
      <c r="D10" s="10"/>
      <c r="E10" s="9">
        <v>34</v>
      </c>
    </row>
    <row r="13" spans="1:9" x14ac:dyDescent="0.25">
      <c r="A13" s="15" t="s">
        <v>258</v>
      </c>
      <c r="B13" s="15" t="s">
        <v>258</v>
      </c>
      <c r="C13" s="15" t="s">
        <v>258</v>
      </c>
      <c r="D13" s="15" t="s">
        <v>258</v>
      </c>
      <c r="E13" s="15" t="s">
        <v>258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34</v>
      </c>
      <c r="C16" s="18" t="s">
        <v>201</v>
      </c>
      <c r="D16" s="18" t="s">
        <v>201</v>
      </c>
      <c r="E16" s="8">
        <v>34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48.75" x14ac:dyDescent="0.25">
      <c r="A20" s="8" t="s">
        <v>211</v>
      </c>
      <c r="B20" s="8" t="s">
        <v>212</v>
      </c>
      <c r="C20" s="8" t="s">
        <v>261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14" xr:uid="{00000000-0004-0000-0F00-000000000000}"/>
    <hyperlink ref="F2" location="'13.2.14E'!A1" display="34" xr:uid="{00000000-0004-0000-0F00-000001000000}"/>
    <hyperlink ref="E10" location="'13.2.14E'!A1" display="'13.2.14E'!A1" xr:uid="{00000000-0004-0000-0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69</v>
      </c>
      <c r="B2" s="5" t="s">
        <v>70</v>
      </c>
      <c r="C2" s="5" t="s">
        <v>14</v>
      </c>
      <c r="D2" s="5" t="s">
        <v>71</v>
      </c>
      <c r="E2" s="5" t="s">
        <v>16</v>
      </c>
      <c r="F2" s="5" t="s">
        <v>262</v>
      </c>
      <c r="G2" s="5">
        <v>7.48</v>
      </c>
      <c r="H2" s="5">
        <v>8.9647800000000011</v>
      </c>
      <c r="I2" s="5">
        <v>268.94340000000005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30</v>
      </c>
      <c r="D8" s="8" t="s">
        <v>258</v>
      </c>
      <c r="E8" s="8">
        <v>30</v>
      </c>
    </row>
    <row r="9" spans="1:9" x14ac:dyDescent="0.25">
      <c r="A9" s="8" t="s">
        <v>198</v>
      </c>
      <c r="B9" s="8" t="s">
        <v>198</v>
      </c>
      <c r="C9" s="8">
        <f>SUBTOTAL(109,Criteria_Summary13.2.15[Elementos])</f>
        <v>30</v>
      </c>
      <c r="D9" s="8" t="s">
        <v>198</v>
      </c>
      <c r="E9" s="8">
        <f>SUBTOTAL(109,Criteria_Summary13.2.15[Total])</f>
        <v>30</v>
      </c>
    </row>
    <row r="10" spans="1:9" x14ac:dyDescent="0.25">
      <c r="A10" s="9" t="s">
        <v>199</v>
      </c>
      <c r="B10" s="9">
        <v>0</v>
      </c>
      <c r="C10" s="10"/>
      <c r="D10" s="10"/>
      <c r="E10" s="9">
        <v>30</v>
      </c>
    </row>
    <row r="13" spans="1:9" x14ac:dyDescent="0.25">
      <c r="A13" s="15" t="s">
        <v>258</v>
      </c>
      <c r="B13" s="15" t="s">
        <v>258</v>
      </c>
      <c r="C13" s="15" t="s">
        <v>258</v>
      </c>
      <c r="D13" s="15" t="s">
        <v>258</v>
      </c>
      <c r="E13" s="15" t="s">
        <v>258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30</v>
      </c>
      <c r="C16" s="18" t="s">
        <v>201</v>
      </c>
      <c r="D16" s="18" t="s">
        <v>201</v>
      </c>
      <c r="E16" s="8">
        <v>30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48.75" x14ac:dyDescent="0.25">
      <c r="A20" s="8" t="s">
        <v>211</v>
      </c>
      <c r="B20" s="8" t="s">
        <v>212</v>
      </c>
      <c r="C20" s="8" t="s">
        <v>263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15" xr:uid="{00000000-0004-0000-1000-000000000000}"/>
    <hyperlink ref="F2" location="'13.2.15E'!A1" display="30" xr:uid="{00000000-0004-0000-1000-000001000000}"/>
    <hyperlink ref="E10" location="'13.2.15E'!A1" display="'13.2.15E'!A1" xr:uid="{00000000-0004-0000-1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73</v>
      </c>
      <c r="B2" s="5" t="s">
        <v>74</v>
      </c>
      <c r="C2" s="5" t="s">
        <v>14</v>
      </c>
      <c r="D2" s="5" t="s">
        <v>75</v>
      </c>
      <c r="E2" s="5" t="s">
        <v>16</v>
      </c>
      <c r="F2" s="5" t="s">
        <v>264</v>
      </c>
      <c r="G2" s="5">
        <v>25</v>
      </c>
      <c r="H2" s="5">
        <v>29.962500000000002</v>
      </c>
      <c r="I2" s="5">
        <v>569.28750000000002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19</v>
      </c>
      <c r="D8" s="8" t="s">
        <v>258</v>
      </c>
      <c r="E8" s="8">
        <v>19</v>
      </c>
    </row>
    <row r="9" spans="1:9" x14ac:dyDescent="0.25">
      <c r="A9" s="8" t="s">
        <v>198</v>
      </c>
      <c r="B9" s="8" t="s">
        <v>198</v>
      </c>
      <c r="C9" s="8">
        <f>SUBTOTAL(109,Criteria_Summary13.2.16[Elementos])</f>
        <v>19</v>
      </c>
      <c r="D9" s="8" t="s">
        <v>198</v>
      </c>
      <c r="E9" s="8">
        <f>SUBTOTAL(109,Criteria_Summary13.2.16[Total])</f>
        <v>19</v>
      </c>
    </row>
    <row r="10" spans="1:9" x14ac:dyDescent="0.25">
      <c r="A10" s="9" t="s">
        <v>199</v>
      </c>
      <c r="B10" s="9">
        <v>0</v>
      </c>
      <c r="C10" s="10"/>
      <c r="D10" s="10"/>
      <c r="E10" s="9">
        <v>19</v>
      </c>
    </row>
    <row r="13" spans="1:9" x14ac:dyDescent="0.25">
      <c r="A13" s="15" t="s">
        <v>258</v>
      </c>
      <c r="B13" s="15" t="s">
        <v>258</v>
      </c>
      <c r="C13" s="15" t="s">
        <v>258</v>
      </c>
      <c r="D13" s="15" t="s">
        <v>258</v>
      </c>
      <c r="E13" s="15" t="s">
        <v>258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19</v>
      </c>
      <c r="C16" s="18" t="s">
        <v>201</v>
      </c>
      <c r="D16" s="18" t="s">
        <v>201</v>
      </c>
      <c r="E16" s="8">
        <v>19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48.75" x14ac:dyDescent="0.25">
      <c r="A20" s="8" t="s">
        <v>211</v>
      </c>
      <c r="B20" s="8" t="s">
        <v>212</v>
      </c>
      <c r="C20" s="8" t="s">
        <v>265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16" xr:uid="{00000000-0004-0000-1100-000000000000}"/>
    <hyperlink ref="F2" location="'13.2.16E'!A1" display="19" xr:uid="{00000000-0004-0000-1100-000001000000}"/>
    <hyperlink ref="E10" location="'13.2.16E'!A1" display="'13.2.16E'!A1" xr:uid="{00000000-0004-0000-1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77</v>
      </c>
      <c r="B2" s="5" t="s">
        <v>78</v>
      </c>
      <c r="C2" s="5" t="s">
        <v>14</v>
      </c>
      <c r="D2" s="5" t="s">
        <v>79</v>
      </c>
      <c r="E2" s="5" t="s">
        <v>16</v>
      </c>
      <c r="F2" s="5" t="s">
        <v>266</v>
      </c>
      <c r="G2" s="5">
        <v>10.55</v>
      </c>
      <c r="H2" s="5">
        <v>12.644175000000002</v>
      </c>
      <c r="I2" s="5">
        <v>50.57670000000001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4</v>
      </c>
      <c r="D8" s="8" t="s">
        <v>197</v>
      </c>
      <c r="E8" s="8">
        <v>4</v>
      </c>
    </row>
    <row r="9" spans="1:9" x14ac:dyDescent="0.25">
      <c r="A9" s="8" t="s">
        <v>198</v>
      </c>
      <c r="B9" s="8" t="s">
        <v>198</v>
      </c>
      <c r="C9" s="8">
        <f>SUBTOTAL(109,Criteria_Summary13.2.17[Elementos])</f>
        <v>4</v>
      </c>
      <c r="D9" s="8" t="s">
        <v>198</v>
      </c>
      <c r="E9" s="8">
        <f>SUBTOTAL(109,Criteria_Summary13.2.17[Total])</f>
        <v>4</v>
      </c>
    </row>
    <row r="10" spans="1:9" x14ac:dyDescent="0.25">
      <c r="A10" s="9" t="s">
        <v>199</v>
      </c>
      <c r="B10" s="9">
        <v>0</v>
      </c>
      <c r="C10" s="10"/>
      <c r="D10" s="10"/>
      <c r="E10" s="9">
        <v>4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4</v>
      </c>
      <c r="C16" s="18" t="s">
        <v>201</v>
      </c>
      <c r="D16" s="18" t="s">
        <v>201</v>
      </c>
      <c r="E16" s="8">
        <v>4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267</v>
      </c>
      <c r="B24" s="18" t="s">
        <v>267</v>
      </c>
      <c r="C24" s="18" t="s">
        <v>267</v>
      </c>
      <c r="D24" s="8" t="s">
        <v>205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96.75" x14ac:dyDescent="0.25">
      <c r="A28" s="8" t="s">
        <v>211</v>
      </c>
      <c r="B28" s="8" t="s">
        <v>212</v>
      </c>
      <c r="C28" s="8" t="s">
        <v>268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17" xr:uid="{00000000-0004-0000-1200-000000000000}"/>
    <hyperlink ref="F2" location="'13.2.17E'!A1" display="4" xr:uid="{00000000-0004-0000-1200-000001000000}"/>
    <hyperlink ref="E10" location="'13.2.17E'!A1" display="'13.2.17E'!A1" xr:uid="{00000000-0004-0000-1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8ECF6"/>
  </sheetPr>
  <dimension ref="A1:I2"/>
  <sheetViews>
    <sheetView showGridLines="0" workbookViewId="0">
      <selection activeCell="I2" sqref="I2"/>
    </sheetView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3" t="s">
        <v>10</v>
      </c>
      <c r="B2" s="4"/>
      <c r="C2" s="4"/>
      <c r="D2" s="3" t="s">
        <v>11</v>
      </c>
      <c r="E2" s="4"/>
      <c r="F2" s="3">
        <v>1</v>
      </c>
      <c r="G2" s="4"/>
      <c r="H2" s="4"/>
      <c r="I2" s="22">
        <v>73829.88</v>
      </c>
    </row>
  </sheetData>
  <hyperlinks>
    <hyperlink ref="A2" location="'Orçamento'!A1" display="13.2" xr:uid="{00000000-0004-0000-0100-000000000000}"/>
  </hyperlink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81</v>
      </c>
      <c r="B2" s="5" t="s">
        <v>82</v>
      </c>
      <c r="C2" s="5" t="s">
        <v>14</v>
      </c>
      <c r="D2" s="5" t="s">
        <v>83</v>
      </c>
      <c r="E2" s="5" t="s">
        <v>16</v>
      </c>
      <c r="F2" s="5" t="s">
        <v>269</v>
      </c>
      <c r="G2" s="5">
        <v>23.835989999999999</v>
      </c>
      <c r="H2" s="5">
        <v>28.567434015</v>
      </c>
      <c r="I2" s="5">
        <v>85.702302044999996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3</v>
      </c>
      <c r="D8" s="8" t="s">
        <v>270</v>
      </c>
      <c r="E8" s="8">
        <v>3</v>
      </c>
    </row>
    <row r="9" spans="1:9" x14ac:dyDescent="0.25">
      <c r="A9" s="8" t="s">
        <v>198</v>
      </c>
      <c r="B9" s="8" t="s">
        <v>198</v>
      </c>
      <c r="C9" s="8">
        <f>SUBTOTAL(109,Criteria_Summary13.2.18[Elementos])</f>
        <v>3</v>
      </c>
      <c r="D9" s="8" t="s">
        <v>198</v>
      </c>
      <c r="E9" s="8">
        <f>SUBTOTAL(109,Criteria_Summary13.2.18[Total])</f>
        <v>3</v>
      </c>
    </row>
    <row r="10" spans="1:9" x14ac:dyDescent="0.25">
      <c r="A10" s="9" t="s">
        <v>199</v>
      </c>
      <c r="B10" s="9">
        <v>0</v>
      </c>
      <c r="C10" s="10"/>
      <c r="D10" s="10"/>
      <c r="E10" s="9">
        <v>3</v>
      </c>
    </row>
    <row r="13" spans="1:9" x14ac:dyDescent="0.25">
      <c r="A13" s="15" t="s">
        <v>270</v>
      </c>
      <c r="B13" s="15" t="s">
        <v>270</v>
      </c>
      <c r="C13" s="15" t="s">
        <v>270</v>
      </c>
      <c r="D13" s="15" t="s">
        <v>270</v>
      </c>
      <c r="E13" s="15" t="s">
        <v>270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3</v>
      </c>
      <c r="C16" s="18" t="s">
        <v>271</v>
      </c>
      <c r="D16" s="18" t="s">
        <v>271</v>
      </c>
      <c r="E16" s="8">
        <v>3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272</v>
      </c>
      <c r="B24" s="18" t="s">
        <v>272</v>
      </c>
      <c r="C24" s="18" t="s">
        <v>272</v>
      </c>
      <c r="D24" s="8" t="s">
        <v>273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24.75" x14ac:dyDescent="0.25">
      <c r="A28" s="8" t="s">
        <v>193</v>
      </c>
      <c r="B28" s="8" t="s">
        <v>212</v>
      </c>
      <c r="C28" s="8" t="s">
        <v>274</v>
      </c>
      <c r="D28" s="8" t="s">
        <v>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18" xr:uid="{00000000-0004-0000-1300-000000000000}"/>
    <hyperlink ref="F2" location="'13.2.18E'!A1" display="3" xr:uid="{00000000-0004-0000-1300-000001000000}"/>
    <hyperlink ref="E10" location="'13.2.18E'!A1" display="'13.2.18E'!A1" xr:uid="{00000000-0004-0000-1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85</v>
      </c>
      <c r="B2" s="5" t="s">
        <v>86</v>
      </c>
      <c r="C2" s="5" t="s">
        <v>14</v>
      </c>
      <c r="D2" s="5" t="s">
        <v>87</v>
      </c>
      <c r="E2" s="5" t="s">
        <v>16</v>
      </c>
      <c r="F2" s="5" t="s">
        <v>257</v>
      </c>
      <c r="G2" s="5">
        <v>23.68</v>
      </c>
      <c r="H2" s="5">
        <v>28.380480000000002</v>
      </c>
      <c r="I2" s="5">
        <v>510.84864000000005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18</v>
      </c>
      <c r="D8" s="8" t="s">
        <v>197</v>
      </c>
      <c r="E8" s="8">
        <v>18</v>
      </c>
    </row>
    <row r="9" spans="1:9" x14ac:dyDescent="0.25">
      <c r="A9" s="8" t="s">
        <v>198</v>
      </c>
      <c r="B9" s="8" t="s">
        <v>198</v>
      </c>
      <c r="C9" s="8">
        <f>SUBTOTAL(109,Criteria_Summary13.2.19[Elementos])</f>
        <v>18</v>
      </c>
      <c r="D9" s="8" t="s">
        <v>198</v>
      </c>
      <c r="E9" s="8">
        <f>SUBTOTAL(109,Criteria_Summary13.2.19[Total])</f>
        <v>18</v>
      </c>
    </row>
    <row r="10" spans="1:9" x14ac:dyDescent="0.25">
      <c r="A10" s="9" t="s">
        <v>199</v>
      </c>
      <c r="B10" s="9">
        <v>0</v>
      </c>
      <c r="C10" s="10"/>
      <c r="D10" s="10"/>
      <c r="E10" s="9">
        <v>18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18</v>
      </c>
      <c r="C16" s="18" t="s">
        <v>201</v>
      </c>
      <c r="D16" s="18" t="s">
        <v>201</v>
      </c>
      <c r="E16" s="8">
        <v>18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275</v>
      </c>
      <c r="B24" s="18" t="s">
        <v>275</v>
      </c>
      <c r="C24" s="18" t="s">
        <v>275</v>
      </c>
      <c r="D24" s="8" t="s">
        <v>205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84.75" x14ac:dyDescent="0.25">
      <c r="A28" s="8" t="s">
        <v>211</v>
      </c>
      <c r="B28" s="8" t="s">
        <v>212</v>
      </c>
      <c r="C28" s="8" t="s">
        <v>276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19" xr:uid="{00000000-0004-0000-1400-000000000000}"/>
    <hyperlink ref="F2" location="'13.2.19E'!A1" display="18" xr:uid="{00000000-0004-0000-1400-000001000000}"/>
    <hyperlink ref="E10" location="'13.2.19E'!A1" display="'13.2.19E'!A1" xr:uid="{00000000-0004-0000-1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88</v>
      </c>
      <c r="B2" s="5" t="s">
        <v>89</v>
      </c>
      <c r="C2" s="5" t="s">
        <v>14</v>
      </c>
      <c r="D2" s="5" t="s">
        <v>90</v>
      </c>
      <c r="E2" s="5" t="s">
        <v>91</v>
      </c>
      <c r="F2" s="5" t="s">
        <v>92</v>
      </c>
      <c r="G2" s="5">
        <v>3.2456489999999998</v>
      </c>
      <c r="H2" s="5">
        <v>3.8899103265000003</v>
      </c>
      <c r="I2" s="5">
        <v>2511.5206023047253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399</v>
      </c>
      <c r="D8" s="8" t="s">
        <v>277</v>
      </c>
      <c r="E8" s="8">
        <v>645.64648482015787</v>
      </c>
    </row>
    <row r="9" spans="1:9" x14ac:dyDescent="0.25">
      <c r="A9" s="8" t="s">
        <v>198</v>
      </c>
      <c r="B9" s="8" t="s">
        <v>198</v>
      </c>
      <c r="C9" s="8">
        <f>SUBTOTAL(109,Criteria_Summary13.2.20[Elementos])</f>
        <v>399</v>
      </c>
      <c r="D9" s="8" t="s">
        <v>198</v>
      </c>
      <c r="E9" s="8">
        <f>SUBTOTAL(109,Criteria_Summary13.2.20[Total])</f>
        <v>645.64648482015787</v>
      </c>
    </row>
    <row r="10" spans="1:9" x14ac:dyDescent="0.25">
      <c r="A10" s="9" t="s">
        <v>199</v>
      </c>
      <c r="B10" s="9">
        <v>0</v>
      </c>
      <c r="C10" s="10"/>
      <c r="D10" s="10"/>
      <c r="E10" s="9">
        <v>645.65</v>
      </c>
    </row>
    <row r="13" spans="1:9" x14ac:dyDescent="0.25">
      <c r="A13" s="15" t="s">
        <v>277</v>
      </c>
      <c r="B13" s="15" t="s">
        <v>277</v>
      </c>
      <c r="C13" s="15" t="s">
        <v>277</v>
      </c>
      <c r="D13" s="15" t="s">
        <v>277</v>
      </c>
      <c r="E13" s="15" t="s">
        <v>277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399</v>
      </c>
      <c r="C16" s="18" t="s">
        <v>278</v>
      </c>
      <c r="D16" s="18" t="s">
        <v>278</v>
      </c>
      <c r="E16" s="8">
        <v>645.64648482015787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x14ac:dyDescent="0.25">
      <c r="A20" s="8" t="s">
        <v>211</v>
      </c>
      <c r="B20" s="8" t="s">
        <v>212</v>
      </c>
      <c r="C20" s="8" t="s">
        <v>279</v>
      </c>
      <c r="D20" s="8" t="s">
        <v>280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20" xr:uid="{00000000-0004-0000-1500-000000000000}"/>
    <hyperlink ref="F2" location="'13.2.20E'!A1" display="645,65" xr:uid="{00000000-0004-0000-1500-000001000000}"/>
    <hyperlink ref="E10" location="'13.2.20E'!A1" display="'13.2.20E'!A1" xr:uid="{00000000-0004-0000-1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93</v>
      </c>
      <c r="B2" s="5" t="s">
        <v>94</v>
      </c>
      <c r="C2" s="5" t="s">
        <v>14</v>
      </c>
      <c r="D2" s="5" t="s">
        <v>95</v>
      </c>
      <c r="E2" s="5" t="s">
        <v>91</v>
      </c>
      <c r="F2" s="5" t="s">
        <v>96</v>
      </c>
      <c r="G2" s="5">
        <v>7.1597650000000002</v>
      </c>
      <c r="H2" s="5">
        <v>8.5809783525000007</v>
      </c>
      <c r="I2" s="5">
        <v>783.10008444915013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23</v>
      </c>
      <c r="D8" s="8" t="s">
        <v>277</v>
      </c>
      <c r="E8" s="8">
        <v>91.255249199213594</v>
      </c>
    </row>
    <row r="9" spans="1:9" x14ac:dyDescent="0.25">
      <c r="A9" s="8" t="s">
        <v>198</v>
      </c>
      <c r="B9" s="8" t="s">
        <v>198</v>
      </c>
      <c r="C9" s="8">
        <f>SUBTOTAL(109,Criteria_Summary13.2.21[Elementos])</f>
        <v>23</v>
      </c>
      <c r="D9" s="8" t="s">
        <v>198</v>
      </c>
      <c r="E9" s="8">
        <f>SUBTOTAL(109,Criteria_Summary13.2.21[Total])</f>
        <v>91.255249199213594</v>
      </c>
    </row>
    <row r="10" spans="1:9" x14ac:dyDescent="0.25">
      <c r="A10" s="9" t="s">
        <v>199</v>
      </c>
      <c r="B10" s="9">
        <v>0</v>
      </c>
      <c r="C10" s="10"/>
      <c r="D10" s="10"/>
      <c r="E10" s="9">
        <v>91.26</v>
      </c>
    </row>
    <row r="13" spans="1:9" x14ac:dyDescent="0.25">
      <c r="A13" s="15" t="s">
        <v>277</v>
      </c>
      <c r="B13" s="15" t="s">
        <v>277</v>
      </c>
      <c r="C13" s="15" t="s">
        <v>277</v>
      </c>
      <c r="D13" s="15" t="s">
        <v>277</v>
      </c>
      <c r="E13" s="15" t="s">
        <v>277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23</v>
      </c>
      <c r="C16" s="18" t="s">
        <v>278</v>
      </c>
      <c r="D16" s="18" t="s">
        <v>278</v>
      </c>
      <c r="E16" s="8">
        <v>91.255249199213594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x14ac:dyDescent="0.25">
      <c r="A20" s="8" t="s">
        <v>211</v>
      </c>
      <c r="B20" s="8" t="s">
        <v>212</v>
      </c>
      <c r="C20" s="8" t="s">
        <v>281</v>
      </c>
      <c r="D20" s="8" t="s">
        <v>280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21" xr:uid="{00000000-0004-0000-1600-000000000000}"/>
    <hyperlink ref="F2" location="'13.2.21E'!A1" display="91,26" xr:uid="{00000000-0004-0000-1600-000001000000}"/>
    <hyperlink ref="E10" location="'13.2.21E'!A1" display="'13.2.21E'!A1" xr:uid="{00000000-0004-0000-1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DFF0D8"/>
  </sheetPr>
  <dimension ref="A1:I25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97</v>
      </c>
      <c r="B2" s="5" t="s">
        <v>98</v>
      </c>
      <c r="C2" s="5" t="s">
        <v>14</v>
      </c>
      <c r="D2" s="5" t="s">
        <v>99</v>
      </c>
      <c r="E2" s="5" t="s">
        <v>91</v>
      </c>
      <c r="F2" s="5" t="s">
        <v>100</v>
      </c>
      <c r="G2" s="5">
        <v>22.517835999999999</v>
      </c>
      <c r="H2" s="5">
        <v>26.987626446</v>
      </c>
      <c r="I2" s="5">
        <v>2585.1447372623402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130</v>
      </c>
      <c r="D8" s="8" t="s">
        <v>282</v>
      </c>
      <c r="E8" s="8">
        <v>95.793109644414258</v>
      </c>
    </row>
    <row r="9" spans="1:9" x14ac:dyDescent="0.25">
      <c r="A9" s="8" t="s">
        <v>198</v>
      </c>
      <c r="B9" s="8" t="s">
        <v>198</v>
      </c>
      <c r="C9" s="8">
        <f>SUBTOTAL(109,Criteria_Summary13.2.22[Elementos])</f>
        <v>130</v>
      </c>
      <c r="D9" s="8" t="s">
        <v>198</v>
      </c>
      <c r="E9" s="8">
        <f>SUBTOTAL(109,Criteria_Summary13.2.22[Total])</f>
        <v>95.793109644414258</v>
      </c>
    </row>
    <row r="10" spans="1:9" x14ac:dyDescent="0.25">
      <c r="A10" s="9" t="s">
        <v>199</v>
      </c>
      <c r="B10" s="9">
        <v>0</v>
      </c>
      <c r="C10" s="10"/>
      <c r="D10" s="10"/>
      <c r="E10" s="9">
        <v>95.79</v>
      </c>
    </row>
    <row r="13" spans="1:9" x14ac:dyDescent="0.25">
      <c r="A13" s="15" t="s">
        <v>282</v>
      </c>
      <c r="B13" s="15" t="s">
        <v>282</v>
      </c>
      <c r="C13" s="15" t="s">
        <v>282</v>
      </c>
      <c r="D13" s="15" t="s">
        <v>282</v>
      </c>
      <c r="E13" s="15" t="s">
        <v>282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130</v>
      </c>
      <c r="C16" s="18" t="s">
        <v>278</v>
      </c>
      <c r="D16" s="18" t="s">
        <v>278</v>
      </c>
      <c r="E16" s="8">
        <v>95.793109644414258</v>
      </c>
    </row>
    <row r="18" spans="1:5" x14ac:dyDescent="0.25">
      <c r="A18" s="19" t="s">
        <v>202</v>
      </c>
      <c r="B18" s="19" t="s">
        <v>202</v>
      </c>
      <c r="C18" s="19" t="s">
        <v>202</v>
      </c>
      <c r="D18" s="19" t="s">
        <v>202</v>
      </c>
      <c r="E18" s="19" t="s">
        <v>202</v>
      </c>
    </row>
    <row r="19" spans="1:5" x14ac:dyDescent="0.25">
      <c r="A19" s="17" t="s">
        <v>203</v>
      </c>
      <c r="B19" s="11"/>
      <c r="C19" s="11"/>
      <c r="D19" s="11" t="s">
        <v>193</v>
      </c>
      <c r="E19" s="11"/>
    </row>
    <row r="20" spans="1:5" x14ac:dyDescent="0.25">
      <c r="A20" s="18" t="s">
        <v>283</v>
      </c>
      <c r="B20" s="18" t="s">
        <v>283</v>
      </c>
      <c r="C20" s="18" t="s">
        <v>283</v>
      </c>
      <c r="D20" s="8" t="s">
        <v>284</v>
      </c>
      <c r="E20" s="8" t="s">
        <v>206</v>
      </c>
    </row>
    <row r="22" spans="1:5" x14ac:dyDescent="0.25">
      <c r="A22" s="19" t="s">
        <v>207</v>
      </c>
      <c r="B22" s="19" t="s">
        <v>207</v>
      </c>
      <c r="C22" s="19" t="s">
        <v>207</v>
      </c>
      <c r="D22" s="19" t="s">
        <v>207</v>
      </c>
      <c r="E22" s="19" t="s">
        <v>207</v>
      </c>
    </row>
    <row r="23" spans="1:5" x14ac:dyDescent="0.25">
      <c r="A23" s="11" t="s">
        <v>193</v>
      </c>
      <c r="B23" s="11" t="s">
        <v>208</v>
      </c>
      <c r="C23" s="11" t="s">
        <v>209</v>
      </c>
      <c r="D23" s="11" t="s">
        <v>210</v>
      </c>
      <c r="E23" s="11"/>
    </row>
    <row r="24" spans="1:5" ht="36.75" x14ac:dyDescent="0.25">
      <c r="A24" s="8" t="s">
        <v>193</v>
      </c>
      <c r="B24" s="8" t="s">
        <v>212</v>
      </c>
      <c r="C24" s="8" t="s">
        <v>285</v>
      </c>
      <c r="D24" s="8" t="s">
        <v>4</v>
      </c>
      <c r="E24" s="8" t="s">
        <v>215</v>
      </c>
    </row>
    <row r="25" spans="1:5" x14ac:dyDescent="0.25">
      <c r="A25" s="8" t="s">
        <v>211</v>
      </c>
      <c r="B25" s="8" t="s">
        <v>212</v>
      </c>
      <c r="C25" s="8" t="s">
        <v>286</v>
      </c>
      <c r="D25" s="8" t="s">
        <v>280</v>
      </c>
      <c r="E25" s="8" t="s">
        <v>215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2'!A1" display="13.2.22" xr:uid="{00000000-0004-0000-1700-000000000000}"/>
    <hyperlink ref="F2" location="'13.2.22E'!A1" display="95,79" xr:uid="{00000000-0004-0000-1700-000001000000}"/>
    <hyperlink ref="E10" location="'13.2.22E'!A1" display="'13.2.22E'!A1" xr:uid="{00000000-0004-0000-1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101</v>
      </c>
      <c r="B2" s="5" t="s">
        <v>102</v>
      </c>
      <c r="C2" s="5" t="s">
        <v>14</v>
      </c>
      <c r="D2" s="5" t="s">
        <v>103</v>
      </c>
      <c r="E2" s="5" t="s">
        <v>91</v>
      </c>
      <c r="F2" s="5" t="s">
        <v>287</v>
      </c>
      <c r="G2" s="5">
        <v>11.125558</v>
      </c>
      <c r="H2" s="5">
        <v>13.333981263000002</v>
      </c>
      <c r="I2" s="5">
        <v>3714.847179871801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186</v>
      </c>
      <c r="D8" s="8" t="s">
        <v>277</v>
      </c>
      <c r="E8" s="8">
        <v>278.59642398425353</v>
      </c>
    </row>
    <row r="9" spans="1:9" x14ac:dyDescent="0.25">
      <c r="A9" s="8" t="s">
        <v>198</v>
      </c>
      <c r="B9" s="8" t="s">
        <v>198</v>
      </c>
      <c r="C9" s="8">
        <f>SUBTOTAL(109,Criteria_Summary13.2.23[Elementos])</f>
        <v>186</v>
      </c>
      <c r="D9" s="8" t="s">
        <v>198</v>
      </c>
      <c r="E9" s="8">
        <f>SUBTOTAL(109,Criteria_Summary13.2.23[Total])</f>
        <v>278.59642398425353</v>
      </c>
    </row>
    <row r="10" spans="1:9" x14ac:dyDescent="0.25">
      <c r="A10" s="9" t="s">
        <v>199</v>
      </c>
      <c r="B10" s="9">
        <v>0</v>
      </c>
      <c r="C10" s="10"/>
      <c r="D10" s="10"/>
      <c r="E10" s="9">
        <v>278.60000000000002</v>
      </c>
    </row>
    <row r="13" spans="1:9" x14ac:dyDescent="0.25">
      <c r="A13" s="15" t="s">
        <v>277</v>
      </c>
      <c r="B13" s="15" t="s">
        <v>277</v>
      </c>
      <c r="C13" s="15" t="s">
        <v>277</v>
      </c>
      <c r="D13" s="15" t="s">
        <v>277</v>
      </c>
      <c r="E13" s="15" t="s">
        <v>277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186</v>
      </c>
      <c r="C16" s="18" t="s">
        <v>278</v>
      </c>
      <c r="D16" s="18" t="s">
        <v>278</v>
      </c>
      <c r="E16" s="8">
        <v>278.59642398425353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x14ac:dyDescent="0.25">
      <c r="A20" s="8" t="s">
        <v>211</v>
      </c>
      <c r="B20" s="8" t="s">
        <v>212</v>
      </c>
      <c r="C20" s="8" t="s">
        <v>288</v>
      </c>
      <c r="D20" s="8" t="s">
        <v>280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23" xr:uid="{00000000-0004-0000-1800-000000000000}"/>
    <hyperlink ref="F2" location="'13.2.23E'!A1" display="278,6" xr:uid="{00000000-0004-0000-1800-000001000000}"/>
    <hyperlink ref="E10" location="'13.2.23E'!A1" display="'13.2.23E'!A1" xr:uid="{00000000-0004-0000-1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105</v>
      </c>
      <c r="B2" s="5" t="s">
        <v>86</v>
      </c>
      <c r="C2" s="5" t="s">
        <v>14</v>
      </c>
      <c r="D2" s="5" t="s">
        <v>106</v>
      </c>
      <c r="E2" s="5" t="s">
        <v>16</v>
      </c>
      <c r="F2" s="5" t="s">
        <v>257</v>
      </c>
      <c r="G2" s="5">
        <v>23.68</v>
      </c>
      <c r="H2" s="5">
        <v>28.380480000000002</v>
      </c>
      <c r="I2" s="5">
        <v>510.84864000000005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18</v>
      </c>
      <c r="D8" s="8" t="s">
        <v>197</v>
      </c>
      <c r="E8" s="8">
        <v>18</v>
      </c>
    </row>
    <row r="9" spans="1:9" x14ac:dyDescent="0.25">
      <c r="A9" s="8" t="s">
        <v>198</v>
      </c>
      <c r="B9" s="8" t="s">
        <v>198</v>
      </c>
      <c r="C9" s="8">
        <f>SUBTOTAL(109,Criteria_Summary13.2.24[Elementos])</f>
        <v>18</v>
      </c>
      <c r="D9" s="8" t="s">
        <v>198</v>
      </c>
      <c r="E9" s="8">
        <f>SUBTOTAL(109,Criteria_Summary13.2.24[Total])</f>
        <v>18</v>
      </c>
    </row>
    <row r="10" spans="1:9" x14ac:dyDescent="0.25">
      <c r="A10" s="9" t="s">
        <v>199</v>
      </c>
      <c r="B10" s="9">
        <v>0</v>
      </c>
      <c r="C10" s="10"/>
      <c r="D10" s="10"/>
      <c r="E10" s="9">
        <v>18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18</v>
      </c>
      <c r="C16" s="18" t="s">
        <v>201</v>
      </c>
      <c r="D16" s="18" t="s">
        <v>201</v>
      </c>
      <c r="E16" s="8">
        <v>18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275</v>
      </c>
      <c r="B24" s="18" t="s">
        <v>275</v>
      </c>
      <c r="C24" s="18" t="s">
        <v>275</v>
      </c>
      <c r="D24" s="8" t="s">
        <v>205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84.75" x14ac:dyDescent="0.25">
      <c r="A28" s="8" t="s">
        <v>211</v>
      </c>
      <c r="B28" s="8" t="s">
        <v>212</v>
      </c>
      <c r="C28" s="8" t="s">
        <v>289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24" xr:uid="{00000000-0004-0000-1900-000000000000}"/>
    <hyperlink ref="F2" location="'13.2.24E'!A1" display="18" xr:uid="{00000000-0004-0000-1900-000001000000}"/>
    <hyperlink ref="E10" location="'13.2.24E'!A1" display="'13.2.24E'!A1" xr:uid="{00000000-0004-0000-1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107</v>
      </c>
      <c r="B2" s="5" t="s">
        <v>108</v>
      </c>
      <c r="C2" s="5" t="s">
        <v>32</v>
      </c>
      <c r="D2" s="5" t="s">
        <v>109</v>
      </c>
      <c r="E2" s="5" t="s">
        <v>16</v>
      </c>
      <c r="F2" s="5" t="s">
        <v>269</v>
      </c>
      <c r="G2" s="5">
        <v>14.355492744759999</v>
      </c>
      <c r="H2" s="5">
        <v>17.205058054594861</v>
      </c>
      <c r="I2" s="5">
        <v>51.615174163784587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3</v>
      </c>
      <c r="D8" s="8" t="s">
        <v>197</v>
      </c>
      <c r="E8" s="8">
        <v>3</v>
      </c>
    </row>
    <row r="9" spans="1:9" x14ac:dyDescent="0.25">
      <c r="A9" s="8" t="s">
        <v>198</v>
      </c>
      <c r="B9" s="8" t="s">
        <v>198</v>
      </c>
      <c r="C9" s="8">
        <f>SUBTOTAL(109,Criteria_Summary13.2.25[Elementos])</f>
        <v>3</v>
      </c>
      <c r="D9" s="8" t="s">
        <v>198</v>
      </c>
      <c r="E9" s="8">
        <f>SUBTOTAL(109,Criteria_Summary13.2.25[Total])</f>
        <v>3</v>
      </c>
    </row>
    <row r="10" spans="1:9" x14ac:dyDescent="0.25">
      <c r="A10" s="9" t="s">
        <v>199</v>
      </c>
      <c r="B10" s="9">
        <v>0</v>
      </c>
      <c r="C10" s="10"/>
      <c r="D10" s="10"/>
      <c r="E10" s="9">
        <v>3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3</v>
      </c>
      <c r="C16" s="18" t="s">
        <v>201</v>
      </c>
      <c r="D16" s="18" t="s">
        <v>201</v>
      </c>
      <c r="E16" s="8">
        <v>3</v>
      </c>
    </row>
    <row r="18" spans="1:5" x14ac:dyDescent="0.25">
      <c r="A18" s="19" t="s">
        <v>202</v>
      </c>
      <c r="B18" s="19" t="s">
        <v>202</v>
      </c>
      <c r="C18" s="19" t="s">
        <v>202</v>
      </c>
      <c r="D18" s="19" t="s">
        <v>202</v>
      </c>
      <c r="E18" s="19" t="s">
        <v>202</v>
      </c>
    </row>
    <row r="19" spans="1:5" x14ac:dyDescent="0.25">
      <c r="A19" s="17" t="s">
        <v>203</v>
      </c>
      <c r="B19" s="11"/>
      <c r="C19" s="11"/>
      <c r="D19" s="11" t="s">
        <v>193</v>
      </c>
      <c r="E19" s="11"/>
    </row>
    <row r="20" spans="1:5" x14ac:dyDescent="0.25">
      <c r="A20" s="18" t="s">
        <v>290</v>
      </c>
      <c r="B20" s="18" t="s">
        <v>290</v>
      </c>
      <c r="C20" s="18" t="s">
        <v>290</v>
      </c>
      <c r="D20" s="8" t="s">
        <v>205</v>
      </c>
      <c r="E20" s="8" t="s">
        <v>206</v>
      </c>
    </row>
    <row r="22" spans="1:5" x14ac:dyDescent="0.25">
      <c r="A22" s="19" t="s">
        <v>207</v>
      </c>
      <c r="B22" s="19" t="s">
        <v>207</v>
      </c>
      <c r="C22" s="19" t="s">
        <v>207</v>
      </c>
      <c r="D22" s="19" t="s">
        <v>207</v>
      </c>
      <c r="E22" s="19" t="s">
        <v>207</v>
      </c>
    </row>
    <row r="23" spans="1:5" x14ac:dyDescent="0.25">
      <c r="A23" s="11" t="s">
        <v>193</v>
      </c>
      <c r="B23" s="11" t="s">
        <v>208</v>
      </c>
      <c r="C23" s="11" t="s">
        <v>209</v>
      </c>
      <c r="D23" s="11" t="s">
        <v>210</v>
      </c>
      <c r="E23" s="11"/>
    </row>
    <row r="24" spans="1:5" ht="72.75" x14ac:dyDescent="0.25">
      <c r="A24" s="8" t="s">
        <v>211</v>
      </c>
      <c r="B24" s="8" t="s">
        <v>212</v>
      </c>
      <c r="C24" s="8" t="s">
        <v>291</v>
      </c>
      <c r="D24" s="8" t="s">
        <v>214</v>
      </c>
      <c r="E24" s="8" t="s">
        <v>215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2'!A1" display="13.2.25" xr:uid="{00000000-0004-0000-1A00-000000000000}"/>
    <hyperlink ref="F2" location="'13.2.25E'!A1" display="3" xr:uid="{00000000-0004-0000-1A00-000001000000}"/>
    <hyperlink ref="E10" location="'13.2.25E'!A1" display="'13.2.25E'!A1" xr:uid="{00000000-0004-0000-1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110</v>
      </c>
      <c r="B2" s="5" t="s">
        <v>111</v>
      </c>
      <c r="C2" s="5" t="s">
        <v>14</v>
      </c>
      <c r="D2" s="5" t="s">
        <v>112</v>
      </c>
      <c r="E2" s="5" t="s">
        <v>16</v>
      </c>
      <c r="F2" s="5" t="s">
        <v>266</v>
      </c>
      <c r="G2" s="5">
        <v>12.04</v>
      </c>
      <c r="H2" s="5">
        <v>14.42994</v>
      </c>
      <c r="I2" s="5">
        <v>57.719760000000001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4</v>
      </c>
      <c r="D8" s="8" t="s">
        <v>197</v>
      </c>
      <c r="E8" s="8">
        <v>4</v>
      </c>
    </row>
    <row r="9" spans="1:9" x14ac:dyDescent="0.25">
      <c r="A9" s="8" t="s">
        <v>198</v>
      </c>
      <c r="B9" s="8" t="s">
        <v>198</v>
      </c>
      <c r="C9" s="8">
        <f>SUBTOTAL(109,Criteria_Summary13.2.26[Elementos])</f>
        <v>4</v>
      </c>
      <c r="D9" s="8" t="s">
        <v>198</v>
      </c>
      <c r="E9" s="8">
        <f>SUBTOTAL(109,Criteria_Summary13.2.26[Total])</f>
        <v>4</v>
      </c>
    </row>
    <row r="10" spans="1:9" x14ac:dyDescent="0.25">
      <c r="A10" s="9" t="s">
        <v>199</v>
      </c>
      <c r="B10" s="9">
        <v>0</v>
      </c>
      <c r="C10" s="10"/>
      <c r="D10" s="10"/>
      <c r="E10" s="9">
        <v>4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4</v>
      </c>
      <c r="C16" s="18" t="s">
        <v>201</v>
      </c>
      <c r="D16" s="18" t="s">
        <v>201</v>
      </c>
      <c r="E16" s="8">
        <v>4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292</v>
      </c>
      <c r="B24" s="18" t="s">
        <v>292</v>
      </c>
      <c r="C24" s="18" t="s">
        <v>292</v>
      </c>
      <c r="D24" s="8" t="s">
        <v>205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84.75" x14ac:dyDescent="0.25">
      <c r="A28" s="8" t="s">
        <v>211</v>
      </c>
      <c r="B28" s="8" t="s">
        <v>212</v>
      </c>
      <c r="C28" s="8" t="s">
        <v>293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26" xr:uid="{00000000-0004-0000-1B00-000000000000}"/>
    <hyperlink ref="F2" location="'13.2.26E'!A1" display="4" xr:uid="{00000000-0004-0000-1B00-000001000000}"/>
    <hyperlink ref="E10" location="'13.2.26E'!A1" display="'13.2.26E'!A1" xr:uid="{00000000-0004-0000-1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36.75" x14ac:dyDescent="0.25">
      <c r="A2" s="5" t="s">
        <v>113</v>
      </c>
      <c r="B2" s="5" t="s">
        <v>114</v>
      </c>
      <c r="C2" s="5" t="s">
        <v>14</v>
      </c>
      <c r="D2" s="5" t="s">
        <v>115</v>
      </c>
      <c r="E2" s="5" t="s">
        <v>16</v>
      </c>
      <c r="F2" s="5" t="s">
        <v>294</v>
      </c>
      <c r="G2" s="5">
        <v>915.44</v>
      </c>
      <c r="H2" s="5">
        <v>1097.1548400000001</v>
      </c>
      <c r="I2" s="5">
        <v>6582.9290400000009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6</v>
      </c>
      <c r="D8" s="8" t="s">
        <v>270</v>
      </c>
      <c r="E8" s="8">
        <v>6</v>
      </c>
    </row>
    <row r="9" spans="1:9" x14ac:dyDescent="0.25">
      <c r="A9" s="8" t="s">
        <v>198</v>
      </c>
      <c r="B9" s="8" t="s">
        <v>198</v>
      </c>
      <c r="C9" s="8">
        <f>SUBTOTAL(109,Criteria_Summary13.2.27[Elementos])</f>
        <v>6</v>
      </c>
      <c r="D9" s="8" t="s">
        <v>198</v>
      </c>
      <c r="E9" s="8">
        <f>SUBTOTAL(109,Criteria_Summary13.2.27[Total])</f>
        <v>6</v>
      </c>
    </row>
    <row r="10" spans="1:9" x14ac:dyDescent="0.25">
      <c r="A10" s="9" t="s">
        <v>199</v>
      </c>
      <c r="B10" s="9">
        <v>0</v>
      </c>
      <c r="C10" s="10"/>
      <c r="D10" s="10"/>
      <c r="E10" s="9">
        <v>6</v>
      </c>
    </row>
    <row r="13" spans="1:9" x14ac:dyDescent="0.25">
      <c r="A13" s="15" t="s">
        <v>270</v>
      </c>
      <c r="B13" s="15" t="s">
        <v>270</v>
      </c>
      <c r="C13" s="15" t="s">
        <v>270</v>
      </c>
      <c r="D13" s="15" t="s">
        <v>270</v>
      </c>
      <c r="E13" s="15" t="s">
        <v>270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6</v>
      </c>
      <c r="C16" s="18" t="s">
        <v>271</v>
      </c>
      <c r="D16" s="18" t="s">
        <v>271</v>
      </c>
      <c r="E16" s="8">
        <v>6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295</v>
      </c>
      <c r="B24" s="18" t="s">
        <v>295</v>
      </c>
      <c r="C24" s="18" t="s">
        <v>295</v>
      </c>
      <c r="D24" s="8" t="s">
        <v>296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60.75" x14ac:dyDescent="0.25">
      <c r="A28" s="8" t="s">
        <v>193</v>
      </c>
      <c r="B28" s="8" t="s">
        <v>212</v>
      </c>
      <c r="C28" s="8" t="s">
        <v>297</v>
      </c>
      <c r="D28" s="8" t="s">
        <v>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27" xr:uid="{00000000-0004-0000-1C00-000000000000}"/>
    <hyperlink ref="F2" location="'13.2.27E'!A1" display="6" xr:uid="{00000000-0004-0000-1C00-000001000000}"/>
    <hyperlink ref="E10" location="'13.2.27E'!A1" display="'13.2.27E'!A1" xr:uid="{00000000-0004-0000-1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191</v>
      </c>
      <c r="G2" s="5">
        <v>0.64</v>
      </c>
      <c r="H2" s="5">
        <v>0.76704000000000006</v>
      </c>
      <c r="I2" s="5">
        <v>11.505600000000001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15</v>
      </c>
      <c r="D8" s="8" t="s">
        <v>197</v>
      </c>
      <c r="E8" s="8">
        <v>15</v>
      </c>
    </row>
    <row r="9" spans="1:9" x14ac:dyDescent="0.25">
      <c r="A9" s="8" t="s">
        <v>198</v>
      </c>
      <c r="B9" s="8" t="s">
        <v>198</v>
      </c>
      <c r="C9" s="8">
        <f>SUBTOTAL(109,Criteria_Summary13.2.1[Elementos])</f>
        <v>15</v>
      </c>
      <c r="D9" s="8" t="s">
        <v>198</v>
      </c>
      <c r="E9" s="8">
        <f>SUBTOTAL(109,Criteria_Summary13.2.1[Total])</f>
        <v>15</v>
      </c>
    </row>
    <row r="10" spans="1:9" x14ac:dyDescent="0.25">
      <c r="A10" s="9" t="s">
        <v>199</v>
      </c>
      <c r="B10" s="9">
        <v>0</v>
      </c>
      <c r="C10" s="10"/>
      <c r="D10" s="10"/>
      <c r="E10" s="9">
        <v>15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15</v>
      </c>
      <c r="C16" s="18" t="s">
        <v>201</v>
      </c>
      <c r="D16" s="18" t="s">
        <v>201</v>
      </c>
      <c r="E16" s="8">
        <v>15</v>
      </c>
    </row>
    <row r="18" spans="1:5" x14ac:dyDescent="0.25">
      <c r="A18" s="19" t="s">
        <v>202</v>
      </c>
      <c r="B18" s="19" t="s">
        <v>202</v>
      </c>
      <c r="C18" s="19" t="s">
        <v>202</v>
      </c>
      <c r="D18" s="19" t="s">
        <v>202</v>
      </c>
      <c r="E18" s="19" t="s">
        <v>202</v>
      </c>
    </row>
    <row r="19" spans="1:5" x14ac:dyDescent="0.25">
      <c r="A19" s="17" t="s">
        <v>203</v>
      </c>
      <c r="B19" s="11"/>
      <c r="C19" s="11"/>
      <c r="D19" s="11" t="s">
        <v>193</v>
      </c>
      <c r="E19" s="11"/>
    </row>
    <row r="20" spans="1:5" x14ac:dyDescent="0.25">
      <c r="A20" s="18" t="s">
        <v>204</v>
      </c>
      <c r="B20" s="18" t="s">
        <v>204</v>
      </c>
      <c r="C20" s="18" t="s">
        <v>204</v>
      </c>
      <c r="D20" s="8" t="s">
        <v>205</v>
      </c>
      <c r="E20" s="8" t="s">
        <v>206</v>
      </c>
    </row>
    <row r="22" spans="1:5" x14ac:dyDescent="0.25">
      <c r="A22" s="19" t="s">
        <v>207</v>
      </c>
      <c r="B22" s="19" t="s">
        <v>207</v>
      </c>
      <c r="C22" s="19" t="s">
        <v>207</v>
      </c>
      <c r="D22" s="19" t="s">
        <v>207</v>
      </c>
      <c r="E22" s="19" t="s">
        <v>207</v>
      </c>
    </row>
    <row r="23" spans="1:5" x14ac:dyDescent="0.25">
      <c r="A23" s="11" t="s">
        <v>193</v>
      </c>
      <c r="B23" s="11" t="s">
        <v>208</v>
      </c>
      <c r="C23" s="11" t="s">
        <v>209</v>
      </c>
      <c r="D23" s="11" t="s">
        <v>210</v>
      </c>
      <c r="E23" s="11"/>
    </row>
    <row r="24" spans="1:5" ht="60.75" x14ac:dyDescent="0.25">
      <c r="A24" s="8" t="s">
        <v>211</v>
      </c>
      <c r="B24" s="8" t="s">
        <v>212</v>
      </c>
      <c r="C24" s="8" t="s">
        <v>213</v>
      </c>
      <c r="D24" s="8" t="s">
        <v>214</v>
      </c>
      <c r="E24" s="8" t="s">
        <v>215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2'!A1" display="13.2.1" xr:uid="{00000000-0004-0000-0200-000000000000}"/>
    <hyperlink ref="F2" location="'13.2.1E'!A1" display="15" xr:uid="{00000000-0004-0000-0200-000001000000}"/>
    <hyperlink ref="E10" location="'13.2.1E'!A1" display="'13.2.1E'!A1" xr:uid="{00000000-0004-0000-0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117</v>
      </c>
      <c r="B2" s="5" t="s">
        <v>118</v>
      </c>
      <c r="C2" s="5" t="s">
        <v>14</v>
      </c>
      <c r="D2" s="5" t="s">
        <v>119</v>
      </c>
      <c r="E2" s="5" t="s">
        <v>16</v>
      </c>
      <c r="F2" s="5" t="s">
        <v>298</v>
      </c>
      <c r="G2" s="5">
        <v>28.02</v>
      </c>
      <c r="H2" s="5">
        <v>33.581970000000005</v>
      </c>
      <c r="I2" s="5">
        <v>805.96728000000007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24</v>
      </c>
      <c r="D8" s="8" t="s">
        <v>197</v>
      </c>
      <c r="E8" s="8">
        <v>24</v>
      </c>
    </row>
    <row r="9" spans="1:9" x14ac:dyDescent="0.25">
      <c r="A9" s="8" t="s">
        <v>198</v>
      </c>
      <c r="B9" s="8" t="s">
        <v>198</v>
      </c>
      <c r="C9" s="8">
        <f>SUBTOTAL(109,Criteria_Summary13.2.28[Elementos])</f>
        <v>24</v>
      </c>
      <c r="D9" s="8" t="s">
        <v>198</v>
      </c>
      <c r="E9" s="8">
        <f>SUBTOTAL(109,Criteria_Summary13.2.28[Total])</f>
        <v>24</v>
      </c>
    </row>
    <row r="10" spans="1:9" x14ac:dyDescent="0.25">
      <c r="A10" s="9" t="s">
        <v>199</v>
      </c>
      <c r="B10" s="9">
        <v>0</v>
      </c>
      <c r="C10" s="10"/>
      <c r="D10" s="10"/>
      <c r="E10" s="9">
        <v>24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24</v>
      </c>
      <c r="C16" s="18" t="s">
        <v>201</v>
      </c>
      <c r="D16" s="18" t="s">
        <v>201</v>
      </c>
      <c r="E16" s="8">
        <v>24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60.75" x14ac:dyDescent="0.25">
      <c r="A20" s="8" t="s">
        <v>211</v>
      </c>
      <c r="B20" s="8" t="s">
        <v>212</v>
      </c>
      <c r="C20" s="8" t="s">
        <v>299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28" xr:uid="{00000000-0004-0000-1D00-000000000000}"/>
    <hyperlink ref="F2" location="'13.2.28E'!A1" display="24" xr:uid="{00000000-0004-0000-1D00-000001000000}"/>
    <hyperlink ref="E10" location="'13.2.28E'!A1" display="'13.2.28E'!A1" xr:uid="{00000000-0004-0000-1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121</v>
      </c>
      <c r="B2" s="5" t="s">
        <v>122</v>
      </c>
      <c r="C2" s="5" t="s">
        <v>14</v>
      </c>
      <c r="D2" s="5" t="s">
        <v>123</v>
      </c>
      <c r="E2" s="5" t="s">
        <v>16</v>
      </c>
      <c r="F2" s="5" t="s">
        <v>294</v>
      </c>
      <c r="G2" s="5">
        <v>855.64675316479997</v>
      </c>
      <c r="H2" s="5">
        <v>1025.4926336680128</v>
      </c>
      <c r="I2" s="5">
        <v>6152.9558020080767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6</v>
      </c>
      <c r="D8" s="8" t="s">
        <v>270</v>
      </c>
      <c r="E8" s="8">
        <v>6</v>
      </c>
    </row>
    <row r="9" spans="1:9" x14ac:dyDescent="0.25">
      <c r="A9" s="8" t="s">
        <v>198</v>
      </c>
      <c r="B9" s="8" t="s">
        <v>198</v>
      </c>
      <c r="C9" s="8">
        <f>SUBTOTAL(109,Criteria_Summary13.2.29[Elementos])</f>
        <v>6</v>
      </c>
      <c r="D9" s="8" t="s">
        <v>198</v>
      </c>
      <c r="E9" s="8">
        <f>SUBTOTAL(109,Criteria_Summary13.2.29[Total])</f>
        <v>6</v>
      </c>
    </row>
    <row r="10" spans="1:9" x14ac:dyDescent="0.25">
      <c r="A10" s="9" t="s">
        <v>199</v>
      </c>
      <c r="B10" s="9">
        <v>0</v>
      </c>
      <c r="C10" s="10"/>
      <c r="D10" s="10"/>
      <c r="E10" s="9">
        <v>6</v>
      </c>
    </row>
    <row r="13" spans="1:9" x14ac:dyDescent="0.25">
      <c r="A13" s="15" t="s">
        <v>270</v>
      </c>
      <c r="B13" s="15" t="s">
        <v>270</v>
      </c>
      <c r="C13" s="15" t="s">
        <v>270</v>
      </c>
      <c r="D13" s="15" t="s">
        <v>270</v>
      </c>
      <c r="E13" s="15" t="s">
        <v>270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6</v>
      </c>
      <c r="C16" s="18" t="s">
        <v>271</v>
      </c>
      <c r="D16" s="18" t="s">
        <v>271</v>
      </c>
      <c r="E16" s="8">
        <v>6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295</v>
      </c>
      <c r="B24" s="18" t="s">
        <v>295</v>
      </c>
      <c r="C24" s="18" t="s">
        <v>295</v>
      </c>
      <c r="D24" s="8" t="s">
        <v>296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60.75" x14ac:dyDescent="0.25">
      <c r="A28" s="8" t="s">
        <v>193</v>
      </c>
      <c r="B28" s="8" t="s">
        <v>212</v>
      </c>
      <c r="C28" s="8" t="s">
        <v>297</v>
      </c>
      <c r="D28" s="8" t="s">
        <v>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29" xr:uid="{00000000-0004-0000-1E00-000000000000}"/>
    <hyperlink ref="F2" location="'13.2.29E'!A1" display="6" xr:uid="{00000000-0004-0000-1E00-000001000000}"/>
    <hyperlink ref="E10" location="'13.2.29E'!A1" display="'13.2.29E'!A1" xr:uid="{00000000-0004-0000-1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124</v>
      </c>
      <c r="B2" s="5" t="s">
        <v>125</v>
      </c>
      <c r="C2" s="5" t="s">
        <v>14</v>
      </c>
      <c r="D2" s="5" t="s">
        <v>126</v>
      </c>
      <c r="E2" s="5" t="s">
        <v>16</v>
      </c>
      <c r="F2" s="5" t="s">
        <v>300</v>
      </c>
      <c r="G2" s="5">
        <v>128.4066</v>
      </c>
      <c r="H2" s="5">
        <v>153.89531010000002</v>
      </c>
      <c r="I2" s="5">
        <v>769.47655050000003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5</v>
      </c>
      <c r="D8" s="8" t="s">
        <v>231</v>
      </c>
      <c r="E8" s="8">
        <v>5</v>
      </c>
    </row>
    <row r="9" spans="1:9" x14ac:dyDescent="0.25">
      <c r="A9" s="8" t="s">
        <v>198</v>
      </c>
      <c r="B9" s="8" t="s">
        <v>198</v>
      </c>
      <c r="C9" s="8">
        <f>SUBTOTAL(109,Criteria_Summary13.2.30[Elementos])</f>
        <v>5</v>
      </c>
      <c r="D9" s="8" t="s">
        <v>198</v>
      </c>
      <c r="E9" s="8">
        <f>SUBTOTAL(109,Criteria_Summary13.2.30[Total])</f>
        <v>5</v>
      </c>
    </row>
    <row r="10" spans="1:9" x14ac:dyDescent="0.25">
      <c r="A10" s="9" t="s">
        <v>199</v>
      </c>
      <c r="B10" s="9">
        <v>0</v>
      </c>
      <c r="C10" s="10"/>
      <c r="D10" s="10"/>
      <c r="E10" s="9">
        <v>5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5</v>
      </c>
      <c r="C16" s="18" t="s">
        <v>232</v>
      </c>
      <c r="D16" s="18" t="s">
        <v>232</v>
      </c>
      <c r="E16" s="8">
        <v>5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301</v>
      </c>
      <c r="B24" s="18" t="s">
        <v>301</v>
      </c>
      <c r="C24" s="18" t="s">
        <v>301</v>
      </c>
      <c r="D24" s="8" t="s">
        <v>302</v>
      </c>
      <c r="E24" s="8" t="s">
        <v>206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30" xr:uid="{00000000-0004-0000-1F00-000000000000}"/>
    <hyperlink ref="F2" location="'13.2.30E'!A1" display="5" xr:uid="{00000000-0004-0000-1F00-000001000000}"/>
    <hyperlink ref="E10" location="'13.2.30E'!A1" display="'13.2.30E'!A1" xr:uid="{00000000-0004-0000-1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128</v>
      </c>
      <c r="B2" s="5" t="s">
        <v>129</v>
      </c>
      <c r="C2" s="5" t="s">
        <v>14</v>
      </c>
      <c r="D2" s="5" t="s">
        <v>130</v>
      </c>
      <c r="E2" s="5" t="s">
        <v>16</v>
      </c>
      <c r="F2" s="5" t="s">
        <v>227</v>
      </c>
      <c r="G2" s="5">
        <v>3.31</v>
      </c>
      <c r="H2" s="5">
        <v>3.9670350000000005</v>
      </c>
      <c r="I2" s="5">
        <v>47.604420000000005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12</v>
      </c>
      <c r="D8" s="8" t="s">
        <v>258</v>
      </c>
      <c r="E8" s="8">
        <v>12</v>
      </c>
    </row>
    <row r="9" spans="1:9" x14ac:dyDescent="0.25">
      <c r="A9" s="8" t="s">
        <v>198</v>
      </c>
      <c r="B9" s="8" t="s">
        <v>198</v>
      </c>
      <c r="C9" s="8">
        <f>SUBTOTAL(109,Criteria_Summary13.2.31[Elementos])</f>
        <v>12</v>
      </c>
      <c r="D9" s="8" t="s">
        <v>198</v>
      </c>
      <c r="E9" s="8">
        <f>SUBTOTAL(109,Criteria_Summary13.2.31[Total])</f>
        <v>12</v>
      </c>
    </row>
    <row r="10" spans="1:9" x14ac:dyDescent="0.25">
      <c r="A10" s="9" t="s">
        <v>199</v>
      </c>
      <c r="B10" s="9">
        <v>0</v>
      </c>
      <c r="C10" s="10"/>
      <c r="D10" s="10"/>
      <c r="E10" s="9">
        <v>12</v>
      </c>
    </row>
    <row r="13" spans="1:9" x14ac:dyDescent="0.25">
      <c r="A13" s="15" t="s">
        <v>258</v>
      </c>
      <c r="B13" s="15" t="s">
        <v>258</v>
      </c>
      <c r="C13" s="15" t="s">
        <v>258</v>
      </c>
      <c r="D13" s="15" t="s">
        <v>258</v>
      </c>
      <c r="E13" s="15" t="s">
        <v>258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12</v>
      </c>
      <c r="C16" s="18" t="s">
        <v>201</v>
      </c>
      <c r="D16" s="18" t="s">
        <v>201</v>
      </c>
      <c r="E16" s="8">
        <v>12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60.75" x14ac:dyDescent="0.25">
      <c r="A20" s="8" t="s">
        <v>211</v>
      </c>
      <c r="B20" s="8" t="s">
        <v>212</v>
      </c>
      <c r="C20" s="8" t="s">
        <v>303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1" xr:uid="{00000000-0004-0000-2000-000000000000}"/>
    <hyperlink ref="F2" location="'13.2.31E'!A1" display="12" xr:uid="{00000000-0004-0000-2000-000001000000}"/>
    <hyperlink ref="E10" location="'13.2.31E'!A1" display="'13.2.31E'!A1" xr:uid="{00000000-0004-0000-2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ht="24.75" x14ac:dyDescent="0.25">
      <c r="A2" s="5" t="s">
        <v>131</v>
      </c>
      <c r="B2" s="5" t="s">
        <v>132</v>
      </c>
      <c r="C2" s="5" t="s">
        <v>32</v>
      </c>
      <c r="D2" s="5" t="s">
        <v>133</v>
      </c>
      <c r="E2" s="5" t="s">
        <v>91</v>
      </c>
      <c r="F2" s="5" t="s">
        <v>134</v>
      </c>
      <c r="G2" s="5">
        <v>13.501244935560001</v>
      </c>
      <c r="H2" s="5">
        <v>16.181242055268662</v>
      </c>
      <c r="I2" s="5">
        <v>953.72240673753493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222</v>
      </c>
      <c r="D8" s="8" t="s">
        <v>304</v>
      </c>
      <c r="E8" s="8">
        <v>58.943204636029584</v>
      </c>
    </row>
    <row r="9" spans="1:9" x14ac:dyDescent="0.25">
      <c r="A9" s="8" t="s">
        <v>198</v>
      </c>
      <c r="B9" s="8" t="s">
        <v>198</v>
      </c>
      <c r="C9" s="8">
        <f>SUBTOTAL(109,Criteria_Summary13.2.32[Elementos])</f>
        <v>222</v>
      </c>
      <c r="D9" s="8" t="s">
        <v>198</v>
      </c>
      <c r="E9" s="8">
        <f>SUBTOTAL(109,Criteria_Summary13.2.32[Total])</f>
        <v>58.943204636029584</v>
      </c>
    </row>
    <row r="10" spans="1:9" x14ac:dyDescent="0.25">
      <c r="A10" s="9" t="s">
        <v>199</v>
      </c>
      <c r="B10" s="9">
        <v>0</v>
      </c>
      <c r="C10" s="10"/>
      <c r="D10" s="10"/>
      <c r="E10" s="9">
        <v>58.94</v>
      </c>
    </row>
    <row r="13" spans="1:9" x14ac:dyDescent="0.25">
      <c r="A13" s="15" t="s">
        <v>304</v>
      </c>
      <c r="B13" s="15" t="s">
        <v>304</v>
      </c>
      <c r="C13" s="15" t="s">
        <v>304</v>
      </c>
      <c r="D13" s="15" t="s">
        <v>304</v>
      </c>
      <c r="E13" s="15" t="s">
        <v>304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222</v>
      </c>
      <c r="C16" s="18" t="s">
        <v>278</v>
      </c>
      <c r="D16" s="18" t="s">
        <v>278</v>
      </c>
      <c r="E16" s="8">
        <v>58.943204636029584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233</v>
      </c>
      <c r="B24" s="18" t="s">
        <v>233</v>
      </c>
      <c r="C24" s="18" t="s">
        <v>233</v>
      </c>
      <c r="D24" s="8" t="s">
        <v>234</v>
      </c>
      <c r="E24" s="8" t="s">
        <v>206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32" xr:uid="{00000000-0004-0000-2100-000000000000}"/>
    <hyperlink ref="F2" location="'13.2.32E'!A1" display="58,94" xr:uid="{00000000-0004-0000-2100-000001000000}"/>
    <hyperlink ref="E10" location="'13.2.32E'!A1" display="'13.2.32E'!A1" xr:uid="{00000000-0004-0000-2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135</v>
      </c>
      <c r="B2" s="5" t="s">
        <v>136</v>
      </c>
      <c r="C2" s="5" t="s">
        <v>14</v>
      </c>
      <c r="D2" s="5" t="s">
        <v>137</v>
      </c>
      <c r="E2" s="5" t="s">
        <v>16</v>
      </c>
      <c r="F2" s="5" t="s">
        <v>266</v>
      </c>
      <c r="G2" s="5">
        <v>11.99</v>
      </c>
      <c r="H2" s="5">
        <v>14.370015000000002</v>
      </c>
      <c r="I2" s="5">
        <v>57.480060000000009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4</v>
      </c>
      <c r="D8" s="8" t="s">
        <v>197</v>
      </c>
      <c r="E8" s="8">
        <v>4</v>
      </c>
    </row>
    <row r="9" spans="1:9" x14ac:dyDescent="0.25">
      <c r="A9" s="8" t="s">
        <v>198</v>
      </c>
      <c r="B9" s="8" t="s">
        <v>198</v>
      </c>
      <c r="C9" s="8">
        <f>SUBTOTAL(109,Criteria_Summary13.2.33[Elementos])</f>
        <v>4</v>
      </c>
      <c r="D9" s="8" t="s">
        <v>198</v>
      </c>
      <c r="E9" s="8">
        <f>SUBTOTAL(109,Criteria_Summary13.2.33[Total])</f>
        <v>4</v>
      </c>
    </row>
    <row r="10" spans="1:9" x14ac:dyDescent="0.25">
      <c r="A10" s="9" t="s">
        <v>199</v>
      </c>
      <c r="B10" s="9">
        <v>0</v>
      </c>
      <c r="C10" s="10"/>
      <c r="D10" s="10"/>
      <c r="E10" s="9">
        <v>4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4</v>
      </c>
      <c r="C16" s="18" t="s">
        <v>201</v>
      </c>
      <c r="D16" s="18" t="s">
        <v>201</v>
      </c>
      <c r="E16" s="8">
        <v>4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305</v>
      </c>
      <c r="B24" s="18" t="s">
        <v>305</v>
      </c>
      <c r="C24" s="18" t="s">
        <v>305</v>
      </c>
      <c r="D24" s="8" t="s">
        <v>205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60.75" x14ac:dyDescent="0.25">
      <c r="A28" s="8" t="s">
        <v>211</v>
      </c>
      <c r="B28" s="8" t="s">
        <v>212</v>
      </c>
      <c r="C28" s="8" t="s">
        <v>306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33" xr:uid="{00000000-0004-0000-2200-000000000000}"/>
    <hyperlink ref="F2" location="'13.2.33E'!A1" display="4" xr:uid="{00000000-0004-0000-2200-000001000000}"/>
    <hyperlink ref="E10" location="'13.2.33E'!A1" display="'13.2.33E'!A1" xr:uid="{00000000-0004-0000-22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138</v>
      </c>
      <c r="B2" s="5" t="s">
        <v>139</v>
      </c>
      <c r="C2" s="5" t="s">
        <v>14</v>
      </c>
      <c r="D2" s="5" t="s">
        <v>140</v>
      </c>
      <c r="E2" s="5" t="s">
        <v>16</v>
      </c>
      <c r="F2" s="5" t="s">
        <v>307</v>
      </c>
      <c r="G2" s="5">
        <v>2.61</v>
      </c>
      <c r="H2" s="5">
        <v>3.128085</v>
      </c>
      <c r="I2" s="5">
        <v>428.54764499999999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137</v>
      </c>
      <c r="D8" s="8" t="s">
        <v>258</v>
      </c>
      <c r="E8" s="8">
        <v>137</v>
      </c>
    </row>
    <row r="9" spans="1:9" x14ac:dyDescent="0.25">
      <c r="A9" s="8" t="s">
        <v>198</v>
      </c>
      <c r="B9" s="8" t="s">
        <v>198</v>
      </c>
      <c r="C9" s="8">
        <f>SUBTOTAL(109,Criteria_Summary13.2.34[Elementos])</f>
        <v>137</v>
      </c>
      <c r="D9" s="8" t="s">
        <v>198</v>
      </c>
      <c r="E9" s="8">
        <f>SUBTOTAL(109,Criteria_Summary13.2.34[Total])</f>
        <v>137</v>
      </c>
    </row>
    <row r="10" spans="1:9" x14ac:dyDescent="0.25">
      <c r="A10" s="9" t="s">
        <v>199</v>
      </c>
      <c r="B10" s="9">
        <v>0</v>
      </c>
      <c r="C10" s="10"/>
      <c r="D10" s="10"/>
      <c r="E10" s="9">
        <v>137</v>
      </c>
    </row>
    <row r="13" spans="1:9" x14ac:dyDescent="0.25">
      <c r="A13" s="15" t="s">
        <v>258</v>
      </c>
      <c r="B13" s="15" t="s">
        <v>258</v>
      </c>
      <c r="C13" s="15" t="s">
        <v>258</v>
      </c>
      <c r="D13" s="15" t="s">
        <v>258</v>
      </c>
      <c r="E13" s="15" t="s">
        <v>258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137</v>
      </c>
      <c r="C16" s="18" t="s">
        <v>201</v>
      </c>
      <c r="D16" s="18" t="s">
        <v>201</v>
      </c>
      <c r="E16" s="8">
        <v>137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60.75" x14ac:dyDescent="0.25">
      <c r="A20" s="8" t="s">
        <v>211</v>
      </c>
      <c r="B20" s="8" t="s">
        <v>212</v>
      </c>
      <c r="C20" s="8" t="s">
        <v>308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4" xr:uid="{00000000-0004-0000-2300-000000000000}"/>
    <hyperlink ref="F2" location="'13.2.34E'!A1" display="137" xr:uid="{00000000-0004-0000-2300-000001000000}"/>
    <hyperlink ref="E10" location="'13.2.34E'!A1" display="'13.2.34E'!A1" xr:uid="{00000000-0004-0000-2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142</v>
      </c>
      <c r="B2" s="5" t="s">
        <v>143</v>
      </c>
      <c r="C2" s="5" t="s">
        <v>14</v>
      </c>
      <c r="D2" s="5" t="s">
        <v>144</v>
      </c>
      <c r="E2" s="5" t="s">
        <v>16</v>
      </c>
      <c r="F2" s="5" t="s">
        <v>309</v>
      </c>
      <c r="G2" s="5">
        <v>11.2</v>
      </c>
      <c r="H2" s="5">
        <v>13.423200000000001</v>
      </c>
      <c r="I2" s="5">
        <v>644.31360000000006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48</v>
      </c>
      <c r="D8" s="8" t="s">
        <v>258</v>
      </c>
      <c r="E8" s="8">
        <v>48</v>
      </c>
    </row>
    <row r="9" spans="1:9" x14ac:dyDescent="0.25">
      <c r="A9" s="8" t="s">
        <v>198</v>
      </c>
      <c r="B9" s="8" t="s">
        <v>198</v>
      </c>
      <c r="C9" s="8">
        <f>SUBTOTAL(109,Criteria_Summary13.2.35[Elementos])</f>
        <v>48</v>
      </c>
      <c r="D9" s="8" t="s">
        <v>198</v>
      </c>
      <c r="E9" s="8">
        <f>SUBTOTAL(109,Criteria_Summary13.2.35[Total])</f>
        <v>48</v>
      </c>
    </row>
    <row r="10" spans="1:9" x14ac:dyDescent="0.25">
      <c r="A10" s="9" t="s">
        <v>199</v>
      </c>
      <c r="B10" s="9">
        <v>0</v>
      </c>
      <c r="C10" s="10"/>
      <c r="D10" s="10"/>
      <c r="E10" s="9">
        <v>48</v>
      </c>
    </row>
    <row r="13" spans="1:9" x14ac:dyDescent="0.25">
      <c r="A13" s="15" t="s">
        <v>258</v>
      </c>
      <c r="B13" s="15" t="s">
        <v>258</v>
      </c>
      <c r="C13" s="15" t="s">
        <v>258</v>
      </c>
      <c r="D13" s="15" t="s">
        <v>258</v>
      </c>
      <c r="E13" s="15" t="s">
        <v>258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48</v>
      </c>
      <c r="C16" s="18" t="s">
        <v>201</v>
      </c>
      <c r="D16" s="18" t="s">
        <v>201</v>
      </c>
      <c r="E16" s="8">
        <v>48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60.75" x14ac:dyDescent="0.25">
      <c r="A20" s="8" t="s">
        <v>211</v>
      </c>
      <c r="B20" s="8" t="s">
        <v>212</v>
      </c>
      <c r="C20" s="8" t="s">
        <v>310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5" xr:uid="{00000000-0004-0000-2400-000000000000}"/>
    <hyperlink ref="F2" location="'13.2.35E'!A1" display="48" xr:uid="{00000000-0004-0000-2400-000001000000}"/>
    <hyperlink ref="E10" location="'13.2.35E'!A1" display="'13.2.35E'!A1" xr:uid="{00000000-0004-0000-2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146</v>
      </c>
      <c r="B2" s="5" t="s">
        <v>147</v>
      </c>
      <c r="C2" s="5" t="s">
        <v>14</v>
      </c>
      <c r="D2" s="5" t="s">
        <v>148</v>
      </c>
      <c r="E2" s="5" t="s">
        <v>16</v>
      </c>
      <c r="F2" s="5" t="s">
        <v>298</v>
      </c>
      <c r="G2" s="5">
        <v>1.58</v>
      </c>
      <c r="H2" s="5">
        <v>1.8936300000000004</v>
      </c>
      <c r="I2" s="5">
        <v>45.447120000000012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24</v>
      </c>
      <c r="D8" s="8" t="s">
        <v>258</v>
      </c>
      <c r="E8" s="8">
        <v>24</v>
      </c>
    </row>
    <row r="9" spans="1:9" x14ac:dyDescent="0.25">
      <c r="A9" s="8" t="s">
        <v>198</v>
      </c>
      <c r="B9" s="8" t="s">
        <v>198</v>
      </c>
      <c r="C9" s="8">
        <f>SUBTOTAL(109,Criteria_Summary13.2.36[Elementos])</f>
        <v>24</v>
      </c>
      <c r="D9" s="8" t="s">
        <v>198</v>
      </c>
      <c r="E9" s="8">
        <f>SUBTOTAL(109,Criteria_Summary13.2.36[Total])</f>
        <v>24</v>
      </c>
    </row>
    <row r="10" spans="1:9" x14ac:dyDescent="0.25">
      <c r="A10" s="9" t="s">
        <v>199</v>
      </c>
      <c r="B10" s="9">
        <v>0</v>
      </c>
      <c r="C10" s="10"/>
      <c r="D10" s="10"/>
      <c r="E10" s="9">
        <v>24</v>
      </c>
    </row>
    <row r="13" spans="1:9" x14ac:dyDescent="0.25">
      <c r="A13" s="15" t="s">
        <v>258</v>
      </c>
      <c r="B13" s="15" t="s">
        <v>258</v>
      </c>
      <c r="C13" s="15" t="s">
        <v>258</v>
      </c>
      <c r="D13" s="15" t="s">
        <v>258</v>
      </c>
      <c r="E13" s="15" t="s">
        <v>258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24</v>
      </c>
      <c r="C16" s="18" t="s">
        <v>201</v>
      </c>
      <c r="D16" s="18" t="s">
        <v>201</v>
      </c>
      <c r="E16" s="8">
        <v>24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60.75" x14ac:dyDescent="0.25">
      <c r="A20" s="8" t="s">
        <v>211</v>
      </c>
      <c r="B20" s="8" t="s">
        <v>212</v>
      </c>
      <c r="C20" s="8" t="s">
        <v>311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6" xr:uid="{00000000-0004-0000-2500-000000000000}"/>
    <hyperlink ref="F2" location="'13.2.36E'!A1" display="24" xr:uid="{00000000-0004-0000-2500-000001000000}"/>
    <hyperlink ref="E10" location="'13.2.36E'!A1" display="'13.2.36E'!A1" xr:uid="{00000000-0004-0000-2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149</v>
      </c>
      <c r="B2" s="5" t="s">
        <v>150</v>
      </c>
      <c r="C2" s="5" t="s">
        <v>14</v>
      </c>
      <c r="D2" s="5" t="s">
        <v>151</v>
      </c>
      <c r="E2" s="5" t="s">
        <v>16</v>
      </c>
      <c r="F2" s="5" t="s">
        <v>312</v>
      </c>
      <c r="G2" s="5">
        <v>0.65</v>
      </c>
      <c r="H2" s="5">
        <v>0.77902500000000008</v>
      </c>
      <c r="I2" s="5">
        <v>8.5692750000000011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11</v>
      </c>
      <c r="D8" s="8" t="s">
        <v>258</v>
      </c>
      <c r="E8" s="8">
        <v>11</v>
      </c>
    </row>
    <row r="9" spans="1:9" x14ac:dyDescent="0.25">
      <c r="A9" s="8" t="s">
        <v>198</v>
      </c>
      <c r="B9" s="8" t="s">
        <v>198</v>
      </c>
      <c r="C9" s="8">
        <f>SUBTOTAL(109,Criteria_Summary13.2.37[Elementos])</f>
        <v>11</v>
      </c>
      <c r="D9" s="8" t="s">
        <v>198</v>
      </c>
      <c r="E9" s="8">
        <f>SUBTOTAL(109,Criteria_Summary13.2.37[Total])</f>
        <v>11</v>
      </c>
    </row>
    <row r="10" spans="1:9" x14ac:dyDescent="0.25">
      <c r="A10" s="9" t="s">
        <v>199</v>
      </c>
      <c r="B10" s="9">
        <v>0</v>
      </c>
      <c r="C10" s="10"/>
      <c r="D10" s="10"/>
      <c r="E10" s="9">
        <v>11</v>
      </c>
    </row>
    <row r="13" spans="1:9" x14ac:dyDescent="0.25">
      <c r="A13" s="15" t="s">
        <v>258</v>
      </c>
      <c r="B13" s="15" t="s">
        <v>258</v>
      </c>
      <c r="C13" s="15" t="s">
        <v>258</v>
      </c>
      <c r="D13" s="15" t="s">
        <v>258</v>
      </c>
      <c r="E13" s="15" t="s">
        <v>258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11</v>
      </c>
      <c r="C16" s="18" t="s">
        <v>201</v>
      </c>
      <c r="D16" s="18" t="s">
        <v>201</v>
      </c>
      <c r="E16" s="8">
        <v>11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60.75" x14ac:dyDescent="0.25">
      <c r="A20" s="8" t="s">
        <v>211</v>
      </c>
      <c r="B20" s="8" t="s">
        <v>212</v>
      </c>
      <c r="C20" s="8" t="s">
        <v>313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7" xr:uid="{00000000-0004-0000-2600-000000000000}"/>
    <hyperlink ref="F2" location="'13.2.37E'!A1" display="11" xr:uid="{00000000-0004-0000-2600-000001000000}"/>
    <hyperlink ref="E10" location="'13.2.37E'!A1" display="'13.2.37E'!A1" xr:uid="{00000000-0004-0000-2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18</v>
      </c>
      <c r="B2" s="5" t="s">
        <v>19</v>
      </c>
      <c r="C2" s="5" t="s">
        <v>14</v>
      </c>
      <c r="D2" s="5" t="s">
        <v>20</v>
      </c>
      <c r="E2" s="5" t="s">
        <v>16</v>
      </c>
      <c r="F2" s="5" t="s">
        <v>216</v>
      </c>
      <c r="G2" s="5">
        <v>12.77</v>
      </c>
      <c r="H2" s="5">
        <v>15.304845</v>
      </c>
      <c r="I2" s="5">
        <v>30.609690000000001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2</v>
      </c>
      <c r="D8" s="8" t="s">
        <v>197</v>
      </c>
      <c r="E8" s="8">
        <v>2</v>
      </c>
    </row>
    <row r="9" spans="1:9" x14ac:dyDescent="0.25">
      <c r="A9" s="8" t="s">
        <v>198</v>
      </c>
      <c r="B9" s="8" t="s">
        <v>198</v>
      </c>
      <c r="C9" s="8">
        <f>SUBTOTAL(109,Criteria_Summary13.2.2[Elementos])</f>
        <v>2</v>
      </c>
      <c r="D9" s="8" t="s">
        <v>198</v>
      </c>
      <c r="E9" s="8">
        <f>SUBTOTAL(109,Criteria_Summary13.2.2[Total])</f>
        <v>2</v>
      </c>
    </row>
    <row r="10" spans="1:9" x14ac:dyDescent="0.25">
      <c r="A10" s="9" t="s">
        <v>199</v>
      </c>
      <c r="B10" s="9">
        <v>0</v>
      </c>
      <c r="C10" s="10"/>
      <c r="D10" s="10"/>
      <c r="E10" s="9">
        <v>2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2</v>
      </c>
      <c r="C16" s="18" t="s">
        <v>201</v>
      </c>
      <c r="D16" s="18" t="s">
        <v>201</v>
      </c>
      <c r="E16" s="8">
        <v>2</v>
      </c>
    </row>
    <row r="18" spans="1:5" x14ac:dyDescent="0.25">
      <c r="A18" s="19" t="s">
        <v>202</v>
      </c>
      <c r="B18" s="19" t="s">
        <v>202</v>
      </c>
      <c r="C18" s="19" t="s">
        <v>202</v>
      </c>
      <c r="D18" s="19" t="s">
        <v>202</v>
      </c>
      <c r="E18" s="19" t="s">
        <v>202</v>
      </c>
    </row>
    <row r="19" spans="1:5" x14ac:dyDescent="0.25">
      <c r="A19" s="17" t="s">
        <v>203</v>
      </c>
      <c r="B19" s="11"/>
      <c r="C19" s="11"/>
      <c r="D19" s="11" t="s">
        <v>193</v>
      </c>
      <c r="E19" s="11"/>
    </row>
    <row r="20" spans="1:5" x14ac:dyDescent="0.25">
      <c r="A20" s="18" t="s">
        <v>204</v>
      </c>
      <c r="B20" s="18" t="s">
        <v>204</v>
      </c>
      <c r="C20" s="18" t="s">
        <v>204</v>
      </c>
      <c r="D20" s="8" t="s">
        <v>205</v>
      </c>
      <c r="E20" s="8" t="s">
        <v>206</v>
      </c>
    </row>
    <row r="22" spans="1:5" x14ac:dyDescent="0.25">
      <c r="A22" s="19" t="s">
        <v>207</v>
      </c>
      <c r="B22" s="19" t="s">
        <v>207</v>
      </c>
      <c r="C22" s="19" t="s">
        <v>207</v>
      </c>
      <c r="D22" s="19" t="s">
        <v>207</v>
      </c>
      <c r="E22" s="19" t="s">
        <v>207</v>
      </c>
    </row>
    <row r="23" spans="1:5" x14ac:dyDescent="0.25">
      <c r="A23" s="11" t="s">
        <v>193</v>
      </c>
      <c r="B23" s="11" t="s">
        <v>208</v>
      </c>
      <c r="C23" s="11" t="s">
        <v>209</v>
      </c>
      <c r="D23" s="11" t="s">
        <v>210</v>
      </c>
      <c r="E23" s="11"/>
    </row>
    <row r="24" spans="1:5" ht="60.75" x14ac:dyDescent="0.25">
      <c r="A24" s="8" t="s">
        <v>211</v>
      </c>
      <c r="B24" s="8" t="s">
        <v>212</v>
      </c>
      <c r="C24" s="8" t="s">
        <v>217</v>
      </c>
      <c r="D24" s="8" t="s">
        <v>214</v>
      </c>
      <c r="E24" s="8" t="s">
        <v>215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2'!A1" display="13.2.2" xr:uid="{00000000-0004-0000-0300-000000000000}"/>
    <hyperlink ref="F2" location="'13.2.2E'!A1" display="2" xr:uid="{00000000-0004-0000-0300-000001000000}"/>
    <hyperlink ref="E10" location="'13.2.2E'!A1" display="'13.2.2E'!A1" xr:uid="{00000000-0004-0000-03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153</v>
      </c>
      <c r="B2" s="5" t="s">
        <v>154</v>
      </c>
      <c r="C2" s="5" t="s">
        <v>37</v>
      </c>
      <c r="D2" s="5" t="s">
        <v>155</v>
      </c>
      <c r="E2" s="5" t="s">
        <v>16</v>
      </c>
      <c r="F2" s="5" t="s">
        <v>220</v>
      </c>
      <c r="G2" s="5">
        <v>94.136374462000006</v>
      </c>
      <c r="H2" s="5">
        <v>112.82244479270702</v>
      </c>
      <c r="I2" s="5">
        <v>1917.9815614760194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17</v>
      </c>
      <c r="D8" s="8" t="s">
        <v>231</v>
      </c>
      <c r="E8" s="8">
        <v>17</v>
      </c>
    </row>
    <row r="9" spans="1:9" x14ac:dyDescent="0.25">
      <c r="A9" s="8" t="s">
        <v>198</v>
      </c>
      <c r="B9" s="8" t="s">
        <v>198</v>
      </c>
      <c r="C9" s="8">
        <f>SUBTOTAL(109,Criteria_Summary13.2.38[Elementos])</f>
        <v>17</v>
      </c>
      <c r="D9" s="8" t="s">
        <v>198</v>
      </c>
      <c r="E9" s="8">
        <f>SUBTOTAL(109,Criteria_Summary13.2.38[Total])</f>
        <v>17</v>
      </c>
    </row>
    <row r="10" spans="1:9" x14ac:dyDescent="0.25">
      <c r="A10" s="9" t="s">
        <v>199</v>
      </c>
      <c r="B10" s="9">
        <v>0</v>
      </c>
      <c r="C10" s="10"/>
      <c r="D10" s="10"/>
      <c r="E10" s="9">
        <v>17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17</v>
      </c>
      <c r="C16" s="18" t="s">
        <v>232</v>
      </c>
      <c r="D16" s="18" t="s">
        <v>232</v>
      </c>
      <c r="E16" s="8">
        <v>17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314</v>
      </c>
      <c r="B24" s="18" t="s">
        <v>314</v>
      </c>
      <c r="C24" s="18" t="s">
        <v>314</v>
      </c>
      <c r="D24" s="8" t="s">
        <v>315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60.75" x14ac:dyDescent="0.25">
      <c r="A28" s="8" t="s">
        <v>193</v>
      </c>
      <c r="B28" s="8" t="s">
        <v>212</v>
      </c>
      <c r="C28" s="8" t="s">
        <v>316</v>
      </c>
      <c r="D28" s="8" t="s">
        <v>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38" xr:uid="{00000000-0004-0000-2700-000000000000}"/>
    <hyperlink ref="F2" location="'13.2.38E'!A1" display="17" xr:uid="{00000000-0004-0000-2700-000001000000}"/>
    <hyperlink ref="E10" location="'13.2.38E'!A1" display="'13.2.38E'!A1" xr:uid="{00000000-0004-0000-2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156</v>
      </c>
      <c r="B2" s="5" t="s">
        <v>157</v>
      </c>
      <c r="C2" s="5" t="s">
        <v>14</v>
      </c>
      <c r="D2" s="5" t="s">
        <v>158</v>
      </c>
      <c r="E2" s="5" t="s">
        <v>16</v>
      </c>
      <c r="F2" s="5" t="s">
        <v>216</v>
      </c>
      <c r="G2" s="5">
        <v>4.38</v>
      </c>
      <c r="H2" s="5">
        <v>5.2494300000000003</v>
      </c>
      <c r="I2" s="5">
        <v>10.498860000000001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2</v>
      </c>
      <c r="D8" s="8" t="s">
        <v>258</v>
      </c>
      <c r="E8" s="8">
        <v>2</v>
      </c>
    </row>
    <row r="9" spans="1:9" x14ac:dyDescent="0.25">
      <c r="A9" s="8" t="s">
        <v>198</v>
      </c>
      <c r="B9" s="8" t="s">
        <v>198</v>
      </c>
      <c r="C9" s="8">
        <f>SUBTOTAL(109,Criteria_Summary13.2.39[Elementos])</f>
        <v>2</v>
      </c>
      <c r="D9" s="8" t="s">
        <v>198</v>
      </c>
      <c r="E9" s="8">
        <f>SUBTOTAL(109,Criteria_Summary13.2.39[Total])</f>
        <v>2</v>
      </c>
    </row>
    <row r="10" spans="1:9" x14ac:dyDescent="0.25">
      <c r="A10" s="9" t="s">
        <v>199</v>
      </c>
      <c r="B10" s="9">
        <v>0</v>
      </c>
      <c r="C10" s="10"/>
      <c r="D10" s="10"/>
      <c r="E10" s="9">
        <v>2</v>
      </c>
    </row>
    <row r="13" spans="1:9" x14ac:dyDescent="0.25">
      <c r="A13" s="15" t="s">
        <v>258</v>
      </c>
      <c r="B13" s="15" t="s">
        <v>258</v>
      </c>
      <c r="C13" s="15" t="s">
        <v>258</v>
      </c>
      <c r="D13" s="15" t="s">
        <v>258</v>
      </c>
      <c r="E13" s="15" t="s">
        <v>258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2</v>
      </c>
      <c r="C16" s="18" t="s">
        <v>201</v>
      </c>
      <c r="D16" s="18" t="s">
        <v>201</v>
      </c>
      <c r="E16" s="8">
        <v>2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60.75" x14ac:dyDescent="0.25">
      <c r="A20" s="8" t="s">
        <v>211</v>
      </c>
      <c r="B20" s="8" t="s">
        <v>212</v>
      </c>
      <c r="C20" s="8" t="s">
        <v>317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39" xr:uid="{00000000-0004-0000-2800-000000000000}"/>
    <hyperlink ref="F2" location="'13.2.39E'!A1" display="2" xr:uid="{00000000-0004-0000-2800-000001000000}"/>
    <hyperlink ref="E10" location="'13.2.39E'!A1" display="'13.2.39E'!A1" xr:uid="{00000000-0004-0000-2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159</v>
      </c>
      <c r="B2" s="5" t="s">
        <v>160</v>
      </c>
      <c r="C2" s="5" t="s">
        <v>14</v>
      </c>
      <c r="D2" s="5" t="s">
        <v>161</v>
      </c>
      <c r="E2" s="5" t="s">
        <v>16</v>
      </c>
      <c r="F2" s="5" t="s">
        <v>318</v>
      </c>
      <c r="G2" s="5">
        <v>21.21</v>
      </c>
      <c r="H2" s="5">
        <v>25.420185000000004</v>
      </c>
      <c r="I2" s="5">
        <v>330.46240500000005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13</v>
      </c>
      <c r="D8" s="8" t="s">
        <v>258</v>
      </c>
      <c r="E8" s="8">
        <v>13</v>
      </c>
    </row>
    <row r="9" spans="1:9" x14ac:dyDescent="0.25">
      <c r="A9" s="8" t="s">
        <v>198</v>
      </c>
      <c r="B9" s="8" t="s">
        <v>198</v>
      </c>
      <c r="C9" s="8">
        <f>SUBTOTAL(109,Criteria_Summary13.2.40[Elementos])</f>
        <v>13</v>
      </c>
      <c r="D9" s="8" t="s">
        <v>198</v>
      </c>
      <c r="E9" s="8">
        <f>SUBTOTAL(109,Criteria_Summary13.2.40[Total])</f>
        <v>13</v>
      </c>
    </row>
    <row r="10" spans="1:9" x14ac:dyDescent="0.25">
      <c r="A10" s="9" t="s">
        <v>199</v>
      </c>
      <c r="B10" s="9">
        <v>0</v>
      </c>
      <c r="C10" s="10"/>
      <c r="D10" s="10"/>
      <c r="E10" s="9">
        <v>13</v>
      </c>
    </row>
    <row r="13" spans="1:9" x14ac:dyDescent="0.25">
      <c r="A13" s="15" t="s">
        <v>258</v>
      </c>
      <c r="B13" s="15" t="s">
        <v>258</v>
      </c>
      <c r="C13" s="15" t="s">
        <v>258</v>
      </c>
      <c r="D13" s="15" t="s">
        <v>258</v>
      </c>
      <c r="E13" s="15" t="s">
        <v>258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13</v>
      </c>
      <c r="C16" s="18" t="s">
        <v>201</v>
      </c>
      <c r="D16" s="18" t="s">
        <v>201</v>
      </c>
      <c r="E16" s="8">
        <v>13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60.75" x14ac:dyDescent="0.25">
      <c r="A20" s="8" t="s">
        <v>211</v>
      </c>
      <c r="B20" s="8" t="s">
        <v>212</v>
      </c>
      <c r="C20" s="8" t="s">
        <v>319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40" xr:uid="{00000000-0004-0000-2900-000000000000}"/>
    <hyperlink ref="F2" location="'13.2.40E'!A1" display="13" xr:uid="{00000000-0004-0000-2900-000001000000}"/>
    <hyperlink ref="E10" location="'13.2.40E'!A1" display="'13.2.40E'!A1" xr:uid="{00000000-0004-0000-29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163</v>
      </c>
      <c r="B2" s="5" t="s">
        <v>164</v>
      </c>
      <c r="C2" s="5" t="s">
        <v>14</v>
      </c>
      <c r="D2" s="5" t="s">
        <v>165</v>
      </c>
      <c r="E2" s="5" t="s">
        <v>16</v>
      </c>
      <c r="F2" s="5" t="s">
        <v>320</v>
      </c>
      <c r="G2" s="5">
        <v>6.71</v>
      </c>
      <c r="H2" s="5">
        <v>8.0419350000000005</v>
      </c>
      <c r="I2" s="5">
        <v>579.01931999999999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72</v>
      </c>
      <c r="D8" s="8" t="s">
        <v>197</v>
      </c>
      <c r="E8" s="8">
        <v>72</v>
      </c>
    </row>
    <row r="9" spans="1:9" x14ac:dyDescent="0.25">
      <c r="A9" s="8" t="s">
        <v>198</v>
      </c>
      <c r="B9" s="8" t="s">
        <v>198</v>
      </c>
      <c r="C9" s="8">
        <f>SUBTOTAL(109,Criteria_Summary13.2.41[Elementos])</f>
        <v>72</v>
      </c>
      <c r="D9" s="8" t="s">
        <v>198</v>
      </c>
      <c r="E9" s="8">
        <f>SUBTOTAL(109,Criteria_Summary13.2.41[Total])</f>
        <v>72</v>
      </c>
    </row>
    <row r="10" spans="1:9" x14ac:dyDescent="0.25">
      <c r="A10" s="9" t="s">
        <v>199</v>
      </c>
      <c r="B10" s="9">
        <v>0</v>
      </c>
      <c r="C10" s="10"/>
      <c r="D10" s="10"/>
      <c r="E10" s="9">
        <v>72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72</v>
      </c>
      <c r="C16" s="18" t="s">
        <v>201</v>
      </c>
      <c r="D16" s="18" t="s">
        <v>201</v>
      </c>
      <c r="E16" s="8">
        <v>72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321</v>
      </c>
      <c r="B24" s="18" t="s">
        <v>321</v>
      </c>
      <c r="C24" s="18" t="s">
        <v>321</v>
      </c>
      <c r="D24" s="8" t="s">
        <v>205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84.75" x14ac:dyDescent="0.25">
      <c r="A28" s="8" t="s">
        <v>211</v>
      </c>
      <c r="B28" s="8" t="s">
        <v>212</v>
      </c>
      <c r="C28" s="8" t="s">
        <v>322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1" xr:uid="{00000000-0004-0000-2A00-000000000000}"/>
    <hyperlink ref="F2" location="'13.2.41E'!A1" display="72" xr:uid="{00000000-0004-0000-2A00-000001000000}"/>
    <hyperlink ref="E10" location="'13.2.41E'!A1" display="'13.2.41E'!A1" xr:uid="{00000000-0004-0000-2A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167</v>
      </c>
      <c r="B2" s="5" t="s">
        <v>168</v>
      </c>
      <c r="C2" s="5" t="s">
        <v>14</v>
      </c>
      <c r="D2" s="5" t="s">
        <v>169</v>
      </c>
      <c r="E2" s="5" t="s">
        <v>16</v>
      </c>
      <c r="F2" s="5" t="s">
        <v>323</v>
      </c>
      <c r="G2" s="5">
        <v>27.71</v>
      </c>
      <c r="H2" s="5">
        <v>33.210435000000004</v>
      </c>
      <c r="I2" s="5">
        <v>265.68348000000003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8</v>
      </c>
      <c r="D8" s="8" t="s">
        <v>197</v>
      </c>
      <c r="E8" s="8">
        <v>8</v>
      </c>
    </row>
    <row r="9" spans="1:9" x14ac:dyDescent="0.25">
      <c r="A9" s="8" t="s">
        <v>198</v>
      </c>
      <c r="B9" s="8" t="s">
        <v>198</v>
      </c>
      <c r="C9" s="8">
        <f>SUBTOTAL(109,Criteria_Summary13.2.42[Elementos])</f>
        <v>8</v>
      </c>
      <c r="D9" s="8" t="s">
        <v>198</v>
      </c>
      <c r="E9" s="8">
        <f>SUBTOTAL(109,Criteria_Summary13.2.42[Total])</f>
        <v>8</v>
      </c>
    </row>
    <row r="10" spans="1:9" x14ac:dyDescent="0.25">
      <c r="A10" s="9" t="s">
        <v>199</v>
      </c>
      <c r="B10" s="9">
        <v>0</v>
      </c>
      <c r="C10" s="10"/>
      <c r="D10" s="10"/>
      <c r="E10" s="9">
        <v>8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8</v>
      </c>
      <c r="C16" s="18" t="s">
        <v>201</v>
      </c>
      <c r="D16" s="18" t="s">
        <v>201</v>
      </c>
      <c r="E16" s="8">
        <v>8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324</v>
      </c>
      <c r="B24" s="18" t="s">
        <v>324</v>
      </c>
      <c r="C24" s="18" t="s">
        <v>324</v>
      </c>
      <c r="D24" s="8" t="s">
        <v>205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60.75" x14ac:dyDescent="0.25">
      <c r="A28" s="8" t="s">
        <v>211</v>
      </c>
      <c r="B28" s="8" t="s">
        <v>212</v>
      </c>
      <c r="C28" s="8" t="s">
        <v>325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2" xr:uid="{00000000-0004-0000-2B00-000000000000}"/>
    <hyperlink ref="F2" location="'13.2.42E'!A1" display="8" xr:uid="{00000000-0004-0000-2B00-000001000000}"/>
    <hyperlink ref="E10" location="'13.2.42E'!A1" display="'13.2.42E'!A1" xr:uid="{00000000-0004-0000-2B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171</v>
      </c>
      <c r="B2" s="5" t="s">
        <v>172</v>
      </c>
      <c r="C2" s="5" t="s">
        <v>14</v>
      </c>
      <c r="D2" s="5" t="s">
        <v>173</v>
      </c>
      <c r="E2" s="5" t="s">
        <v>16</v>
      </c>
      <c r="F2" s="5" t="s">
        <v>326</v>
      </c>
      <c r="G2" s="5">
        <v>74.959999999999994</v>
      </c>
      <c r="H2" s="5">
        <v>89.839560000000006</v>
      </c>
      <c r="I2" s="5">
        <v>1976.4703200000001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22</v>
      </c>
      <c r="D8" s="8" t="s">
        <v>197</v>
      </c>
      <c r="E8" s="8">
        <v>22</v>
      </c>
    </row>
    <row r="9" spans="1:9" x14ac:dyDescent="0.25">
      <c r="A9" s="8" t="s">
        <v>198</v>
      </c>
      <c r="B9" s="8" t="s">
        <v>198</v>
      </c>
      <c r="C9" s="8">
        <f>SUBTOTAL(109,Criteria_Summary13.2.43[Elementos])</f>
        <v>22</v>
      </c>
      <c r="D9" s="8" t="s">
        <v>198</v>
      </c>
      <c r="E9" s="8">
        <f>SUBTOTAL(109,Criteria_Summary13.2.43[Total])</f>
        <v>22</v>
      </c>
    </row>
    <row r="10" spans="1:9" x14ac:dyDescent="0.25">
      <c r="A10" s="9" t="s">
        <v>199</v>
      </c>
      <c r="B10" s="9">
        <v>0</v>
      </c>
      <c r="C10" s="10"/>
      <c r="D10" s="10"/>
      <c r="E10" s="9">
        <v>22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22</v>
      </c>
      <c r="C16" s="18" t="s">
        <v>201</v>
      </c>
      <c r="D16" s="18" t="s">
        <v>201</v>
      </c>
      <c r="E16" s="8">
        <v>22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324</v>
      </c>
      <c r="B24" s="18" t="s">
        <v>324</v>
      </c>
      <c r="C24" s="18" t="s">
        <v>324</v>
      </c>
      <c r="D24" s="8" t="s">
        <v>205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60.75" x14ac:dyDescent="0.25">
      <c r="A28" s="8" t="s">
        <v>211</v>
      </c>
      <c r="B28" s="8" t="s">
        <v>212</v>
      </c>
      <c r="C28" s="8" t="s">
        <v>327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3" xr:uid="{00000000-0004-0000-2C00-000000000000}"/>
    <hyperlink ref="F2" location="'13.2.43E'!A1" display="22" xr:uid="{00000000-0004-0000-2C00-000001000000}"/>
    <hyperlink ref="E10" location="'13.2.43E'!A1" display="'13.2.43E'!A1" xr:uid="{00000000-0004-0000-2C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tabColor rgb="FFDFF0D8"/>
  </sheetPr>
  <dimension ref="A1:I20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175</v>
      </c>
      <c r="B2" s="5" t="s">
        <v>176</v>
      </c>
      <c r="C2" s="5" t="s">
        <v>14</v>
      </c>
      <c r="D2" s="5" t="s">
        <v>177</v>
      </c>
      <c r="E2" s="5" t="s">
        <v>16</v>
      </c>
      <c r="F2" s="5" t="s">
        <v>216</v>
      </c>
      <c r="G2" s="5">
        <v>106.27731</v>
      </c>
      <c r="H2" s="5">
        <v>127.37335603500001</v>
      </c>
      <c r="I2" s="5">
        <v>254.74671207000003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2</v>
      </c>
      <c r="D8" s="8" t="s">
        <v>231</v>
      </c>
      <c r="E8" s="8">
        <v>2</v>
      </c>
    </row>
    <row r="9" spans="1:9" x14ac:dyDescent="0.25">
      <c r="A9" s="8" t="s">
        <v>198</v>
      </c>
      <c r="B9" s="8" t="s">
        <v>198</v>
      </c>
      <c r="C9" s="8">
        <f>SUBTOTAL(109,Criteria_Summary13.2.44[Elementos])</f>
        <v>2</v>
      </c>
      <c r="D9" s="8" t="s">
        <v>198</v>
      </c>
      <c r="E9" s="8">
        <f>SUBTOTAL(109,Criteria_Summary13.2.44[Total])</f>
        <v>2</v>
      </c>
    </row>
    <row r="10" spans="1:9" x14ac:dyDescent="0.25">
      <c r="A10" s="9" t="s">
        <v>199</v>
      </c>
      <c r="B10" s="9">
        <v>0</v>
      </c>
      <c r="C10" s="10"/>
      <c r="D10" s="10"/>
      <c r="E10" s="9">
        <v>2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2</v>
      </c>
      <c r="C16" s="18" t="s">
        <v>232</v>
      </c>
      <c r="D16" s="18" t="s">
        <v>232</v>
      </c>
      <c r="E16" s="8">
        <v>2</v>
      </c>
    </row>
    <row r="18" spans="1:5" x14ac:dyDescent="0.25">
      <c r="A18" s="19" t="s">
        <v>207</v>
      </c>
      <c r="B18" s="19" t="s">
        <v>207</v>
      </c>
      <c r="C18" s="19" t="s">
        <v>207</v>
      </c>
      <c r="D18" s="19" t="s">
        <v>207</v>
      </c>
      <c r="E18" s="19" t="s">
        <v>207</v>
      </c>
    </row>
    <row r="19" spans="1:5" x14ac:dyDescent="0.25">
      <c r="A19" s="11" t="s">
        <v>193</v>
      </c>
      <c r="B19" s="11" t="s">
        <v>208</v>
      </c>
      <c r="C19" s="11" t="s">
        <v>209</v>
      </c>
      <c r="D19" s="11" t="s">
        <v>210</v>
      </c>
      <c r="E19" s="11"/>
    </row>
    <row r="20" spans="1:5" ht="48.75" x14ac:dyDescent="0.25">
      <c r="A20" s="8" t="s">
        <v>211</v>
      </c>
      <c r="B20" s="8" t="s">
        <v>212</v>
      </c>
      <c r="C20" s="8" t="s">
        <v>328</v>
      </c>
      <c r="D20" s="8" t="s">
        <v>214</v>
      </c>
      <c r="E20" s="8" t="s">
        <v>215</v>
      </c>
    </row>
  </sheetData>
  <mergeCells count="7">
    <mergeCell ref="C16:D16"/>
    <mergeCell ref="A18:E18"/>
    <mergeCell ref="A5:E5"/>
    <mergeCell ref="A6:E6"/>
    <mergeCell ref="A13:E13"/>
    <mergeCell ref="A14:E14"/>
    <mergeCell ref="C15:D15"/>
  </mergeCells>
  <hyperlinks>
    <hyperlink ref="A2" location="'13.2'!A1" display="13.2.44" xr:uid="{00000000-0004-0000-2D00-000000000000}"/>
    <hyperlink ref="F2" location="'13.2.44E'!A1" display="2" xr:uid="{00000000-0004-0000-2D00-000001000000}"/>
    <hyperlink ref="E10" location="'13.2.44E'!A1" display="'13.2.44E'!A1" xr:uid="{00000000-0004-0000-2D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178</v>
      </c>
      <c r="B2" s="5" t="s">
        <v>179</v>
      </c>
      <c r="C2" s="5" t="s">
        <v>14</v>
      </c>
      <c r="D2" s="5" t="s">
        <v>180</v>
      </c>
      <c r="E2" s="5" t="s">
        <v>16</v>
      </c>
      <c r="F2" s="5" t="s">
        <v>266</v>
      </c>
      <c r="G2" s="5">
        <v>187.57731000000001</v>
      </c>
      <c r="H2" s="5">
        <v>224.81140603500003</v>
      </c>
      <c r="I2" s="5">
        <v>899.24562414000013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4</v>
      </c>
      <c r="D8" s="8" t="s">
        <v>231</v>
      </c>
      <c r="E8" s="8">
        <v>4</v>
      </c>
    </row>
    <row r="9" spans="1:9" x14ac:dyDescent="0.25">
      <c r="A9" s="8" t="s">
        <v>198</v>
      </c>
      <c r="B9" s="8" t="s">
        <v>198</v>
      </c>
      <c r="C9" s="8">
        <f>SUBTOTAL(109,Criteria_Summary13.2.45[Elementos])</f>
        <v>4</v>
      </c>
      <c r="D9" s="8" t="s">
        <v>198</v>
      </c>
      <c r="E9" s="8">
        <f>SUBTOTAL(109,Criteria_Summary13.2.45[Total])</f>
        <v>4</v>
      </c>
    </row>
    <row r="10" spans="1:9" x14ac:dyDescent="0.25">
      <c r="A10" s="9" t="s">
        <v>199</v>
      </c>
      <c r="B10" s="9">
        <v>0</v>
      </c>
      <c r="C10" s="10"/>
      <c r="D10" s="10"/>
      <c r="E10" s="9">
        <v>4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4</v>
      </c>
      <c r="C16" s="18" t="s">
        <v>232</v>
      </c>
      <c r="D16" s="18" t="s">
        <v>232</v>
      </c>
      <c r="E16" s="8">
        <v>4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207</v>
      </c>
      <c r="B22" s="19" t="s">
        <v>207</v>
      </c>
      <c r="C22" s="19" t="s">
        <v>207</v>
      </c>
      <c r="D22" s="19" t="s">
        <v>207</v>
      </c>
      <c r="E22" s="19" t="s">
        <v>207</v>
      </c>
    </row>
    <row r="23" spans="1:5" x14ac:dyDescent="0.25">
      <c r="A23" s="11" t="s">
        <v>193</v>
      </c>
      <c r="B23" s="11" t="s">
        <v>208</v>
      </c>
      <c r="C23" s="11" t="s">
        <v>209</v>
      </c>
      <c r="D23" s="11" t="s">
        <v>210</v>
      </c>
      <c r="E23" s="11"/>
    </row>
    <row r="24" spans="1:5" ht="24.75" x14ac:dyDescent="0.25">
      <c r="A24" s="8" t="s">
        <v>211</v>
      </c>
      <c r="B24" s="8" t="s">
        <v>212</v>
      </c>
      <c r="C24" s="8" t="s">
        <v>329</v>
      </c>
      <c r="D24" s="8" t="s">
        <v>214</v>
      </c>
      <c r="E24" s="8" t="s">
        <v>215</v>
      </c>
    </row>
  </sheetData>
  <mergeCells count="9">
    <mergeCell ref="C16:D16"/>
    <mergeCell ref="A18:E18"/>
    <mergeCell ref="A19:C19"/>
    <mergeCell ref="A22:E22"/>
    <mergeCell ref="A5:E5"/>
    <mergeCell ref="A6:E6"/>
    <mergeCell ref="A13:E13"/>
    <mergeCell ref="A14:E14"/>
    <mergeCell ref="C15:D15"/>
  </mergeCells>
  <hyperlinks>
    <hyperlink ref="A2" location="'13.2'!A1" display="13.2.45" xr:uid="{00000000-0004-0000-2E00-000000000000}"/>
    <hyperlink ref="F2" location="'13.2.45E'!A1" display="4" xr:uid="{00000000-0004-0000-2E00-000001000000}"/>
    <hyperlink ref="E10" location="'13.2.45E'!A1" display="'13.2.45E'!A1" xr:uid="{00000000-0004-0000-2E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181</v>
      </c>
      <c r="B2" s="5" t="s">
        <v>182</v>
      </c>
      <c r="C2" s="5" t="s">
        <v>32</v>
      </c>
      <c r="D2" s="5" t="s">
        <v>183</v>
      </c>
      <c r="E2" s="5" t="s">
        <v>16</v>
      </c>
      <c r="F2" s="5" t="s">
        <v>330</v>
      </c>
      <c r="G2" s="5">
        <v>107.18548271518</v>
      </c>
      <c r="H2" s="5">
        <v>128.46180103414324</v>
      </c>
      <c r="I2" s="5">
        <v>1798.4652144780052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14</v>
      </c>
      <c r="D8" s="8" t="s">
        <v>231</v>
      </c>
      <c r="E8" s="8">
        <v>14</v>
      </c>
    </row>
    <row r="9" spans="1:9" x14ac:dyDescent="0.25">
      <c r="A9" s="8" t="s">
        <v>198</v>
      </c>
      <c r="B9" s="8" t="s">
        <v>198</v>
      </c>
      <c r="C9" s="8">
        <f>SUBTOTAL(109,Criteria_Summary13.2.46[Elementos])</f>
        <v>14</v>
      </c>
      <c r="D9" s="8" t="s">
        <v>198</v>
      </c>
      <c r="E9" s="8">
        <f>SUBTOTAL(109,Criteria_Summary13.2.46[Total])</f>
        <v>14</v>
      </c>
    </row>
    <row r="10" spans="1:9" x14ac:dyDescent="0.25">
      <c r="A10" s="9" t="s">
        <v>199</v>
      </c>
      <c r="B10" s="9">
        <v>0</v>
      </c>
      <c r="C10" s="10"/>
      <c r="D10" s="10"/>
      <c r="E10" s="9">
        <v>14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14</v>
      </c>
      <c r="C16" s="18" t="s">
        <v>232</v>
      </c>
      <c r="D16" s="18" t="s">
        <v>232</v>
      </c>
      <c r="E16" s="8">
        <v>14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207</v>
      </c>
      <c r="B22" s="19" t="s">
        <v>207</v>
      </c>
      <c r="C22" s="19" t="s">
        <v>207</v>
      </c>
      <c r="D22" s="19" t="s">
        <v>207</v>
      </c>
      <c r="E22" s="19" t="s">
        <v>207</v>
      </c>
    </row>
    <row r="23" spans="1:5" x14ac:dyDescent="0.25">
      <c r="A23" s="11" t="s">
        <v>193</v>
      </c>
      <c r="B23" s="11" t="s">
        <v>208</v>
      </c>
      <c r="C23" s="11" t="s">
        <v>209</v>
      </c>
      <c r="D23" s="11" t="s">
        <v>210</v>
      </c>
      <c r="E23" s="11"/>
    </row>
    <row r="24" spans="1:5" ht="60.75" x14ac:dyDescent="0.25">
      <c r="A24" s="8" t="s">
        <v>193</v>
      </c>
      <c r="B24" s="8" t="s">
        <v>212</v>
      </c>
      <c r="C24" s="8" t="s">
        <v>331</v>
      </c>
      <c r="D24" s="8" t="s">
        <v>4</v>
      </c>
      <c r="E24" s="8" t="s">
        <v>215</v>
      </c>
    </row>
  </sheetData>
  <mergeCells count="9">
    <mergeCell ref="C16:D16"/>
    <mergeCell ref="A18:E18"/>
    <mergeCell ref="A19:C19"/>
    <mergeCell ref="A22:E22"/>
    <mergeCell ref="A5:E5"/>
    <mergeCell ref="A6:E6"/>
    <mergeCell ref="A13:E13"/>
    <mergeCell ref="A14:E14"/>
    <mergeCell ref="C15:D15"/>
  </mergeCells>
  <hyperlinks>
    <hyperlink ref="A2" location="'13.2'!A1" display="13.2.46" xr:uid="{00000000-0004-0000-2F00-000000000000}"/>
    <hyperlink ref="F2" location="'13.2.46E'!A1" display="14" xr:uid="{00000000-0004-0000-2F00-000001000000}"/>
    <hyperlink ref="E10" location="'13.2.46E'!A1" display="'13.2.46E'!A1" xr:uid="{00000000-0004-0000-2F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185</v>
      </c>
      <c r="B2" s="5" t="s">
        <v>186</v>
      </c>
      <c r="C2" s="5" t="s">
        <v>32</v>
      </c>
      <c r="D2" s="5" t="s">
        <v>187</v>
      </c>
      <c r="E2" s="5" t="s">
        <v>16</v>
      </c>
      <c r="F2" s="5" t="s">
        <v>220</v>
      </c>
      <c r="G2" s="5">
        <v>44.353822682919997</v>
      </c>
      <c r="H2" s="5">
        <v>53.158056485479619</v>
      </c>
      <c r="I2" s="5">
        <v>903.68696025315353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17</v>
      </c>
      <c r="D8" s="8" t="s">
        <v>231</v>
      </c>
      <c r="E8" s="8">
        <v>17</v>
      </c>
    </row>
    <row r="9" spans="1:9" x14ac:dyDescent="0.25">
      <c r="A9" s="8" t="s">
        <v>198</v>
      </c>
      <c r="B9" s="8" t="s">
        <v>198</v>
      </c>
      <c r="C9" s="8">
        <f>SUBTOTAL(109,Criteria_Summary13.2.47[Elementos])</f>
        <v>17</v>
      </c>
      <c r="D9" s="8" t="s">
        <v>198</v>
      </c>
      <c r="E9" s="8">
        <f>SUBTOTAL(109,Criteria_Summary13.2.47[Total])</f>
        <v>17</v>
      </c>
    </row>
    <row r="10" spans="1:9" x14ac:dyDescent="0.25">
      <c r="A10" s="9" t="s">
        <v>199</v>
      </c>
      <c r="B10" s="9">
        <v>0</v>
      </c>
      <c r="C10" s="10"/>
      <c r="D10" s="10"/>
      <c r="E10" s="9">
        <v>17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17</v>
      </c>
      <c r="C16" s="18" t="s">
        <v>232</v>
      </c>
      <c r="D16" s="18" t="s">
        <v>232</v>
      </c>
      <c r="E16" s="8">
        <v>17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314</v>
      </c>
      <c r="B24" s="18" t="s">
        <v>314</v>
      </c>
      <c r="C24" s="18" t="s">
        <v>314</v>
      </c>
      <c r="D24" s="8" t="s">
        <v>315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60.75" x14ac:dyDescent="0.25">
      <c r="A28" s="8" t="s">
        <v>193</v>
      </c>
      <c r="B28" s="8" t="s">
        <v>212</v>
      </c>
      <c r="C28" s="8" t="s">
        <v>316</v>
      </c>
      <c r="D28" s="8" t="s">
        <v>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7" xr:uid="{00000000-0004-0000-3000-000000000000}"/>
    <hyperlink ref="F2" location="'13.2.47E'!A1" display="17" xr:uid="{00000000-0004-0000-3000-000001000000}"/>
    <hyperlink ref="E10" location="'13.2.47E'!A1" display="'13.2.47E'!A1" xr:uid="{00000000-0004-0000-30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22</v>
      </c>
      <c r="B2" s="5" t="s">
        <v>23</v>
      </c>
      <c r="C2" s="5" t="s">
        <v>14</v>
      </c>
      <c r="D2" s="5" t="s">
        <v>24</v>
      </c>
      <c r="E2" s="5" t="s">
        <v>16</v>
      </c>
      <c r="F2" s="5" t="s">
        <v>218</v>
      </c>
      <c r="G2" s="5">
        <v>3.67</v>
      </c>
      <c r="H2" s="5">
        <v>4.3984950000000005</v>
      </c>
      <c r="I2" s="5">
        <v>4.3984950000000005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</v>
      </c>
      <c r="D8" s="8" t="s">
        <v>197</v>
      </c>
      <c r="E8" s="8">
        <v>1</v>
      </c>
    </row>
    <row r="9" spans="1:9" x14ac:dyDescent="0.25">
      <c r="A9" s="8" t="s">
        <v>198</v>
      </c>
      <c r="B9" s="8" t="s">
        <v>198</v>
      </c>
      <c r="C9" s="8">
        <f>SUBTOTAL(109,Criteria_Summary13.2.3[Elementos])</f>
        <v>1</v>
      </c>
      <c r="D9" s="8" t="s">
        <v>198</v>
      </c>
      <c r="E9" s="8">
        <f>SUBTOTAL(109,Criteria_Summary13.2.3[Total])</f>
        <v>1</v>
      </c>
    </row>
    <row r="10" spans="1:9" x14ac:dyDescent="0.25">
      <c r="A10" s="9" t="s">
        <v>199</v>
      </c>
      <c r="B10" s="9">
        <v>0</v>
      </c>
      <c r="C10" s="10"/>
      <c r="D10" s="10"/>
      <c r="E10" s="9">
        <v>1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</v>
      </c>
      <c r="C16" s="18" t="s">
        <v>201</v>
      </c>
      <c r="D16" s="18" t="s">
        <v>201</v>
      </c>
      <c r="E16" s="8">
        <v>1</v>
      </c>
    </row>
    <row r="18" spans="1:5" x14ac:dyDescent="0.25">
      <c r="A18" s="19" t="s">
        <v>202</v>
      </c>
      <c r="B18" s="19" t="s">
        <v>202</v>
      </c>
      <c r="C18" s="19" t="s">
        <v>202</v>
      </c>
      <c r="D18" s="19" t="s">
        <v>202</v>
      </c>
      <c r="E18" s="19" t="s">
        <v>202</v>
      </c>
    </row>
    <row r="19" spans="1:5" x14ac:dyDescent="0.25">
      <c r="A19" s="17" t="s">
        <v>203</v>
      </c>
      <c r="B19" s="11"/>
      <c r="C19" s="11"/>
      <c r="D19" s="11" t="s">
        <v>193</v>
      </c>
      <c r="E19" s="11"/>
    </row>
    <row r="20" spans="1:5" x14ac:dyDescent="0.25">
      <c r="A20" s="18" t="s">
        <v>204</v>
      </c>
      <c r="B20" s="18" t="s">
        <v>204</v>
      </c>
      <c r="C20" s="18" t="s">
        <v>204</v>
      </c>
      <c r="D20" s="8" t="s">
        <v>205</v>
      </c>
      <c r="E20" s="8" t="s">
        <v>206</v>
      </c>
    </row>
    <row r="22" spans="1:5" x14ac:dyDescent="0.25">
      <c r="A22" s="19" t="s">
        <v>207</v>
      </c>
      <c r="B22" s="19" t="s">
        <v>207</v>
      </c>
      <c r="C22" s="19" t="s">
        <v>207</v>
      </c>
      <c r="D22" s="19" t="s">
        <v>207</v>
      </c>
      <c r="E22" s="19" t="s">
        <v>207</v>
      </c>
    </row>
    <row r="23" spans="1:5" x14ac:dyDescent="0.25">
      <c r="A23" s="11" t="s">
        <v>193</v>
      </c>
      <c r="B23" s="11" t="s">
        <v>208</v>
      </c>
      <c r="C23" s="11" t="s">
        <v>209</v>
      </c>
      <c r="D23" s="11" t="s">
        <v>210</v>
      </c>
      <c r="E23" s="11"/>
    </row>
    <row r="24" spans="1:5" ht="60.75" x14ac:dyDescent="0.25">
      <c r="A24" s="8" t="s">
        <v>211</v>
      </c>
      <c r="B24" s="8" t="s">
        <v>212</v>
      </c>
      <c r="C24" s="8" t="s">
        <v>219</v>
      </c>
      <c r="D24" s="8" t="s">
        <v>214</v>
      </c>
      <c r="E24" s="8" t="s">
        <v>215</v>
      </c>
    </row>
  </sheetData>
  <mergeCells count="10">
    <mergeCell ref="C16:D16"/>
    <mergeCell ref="A18:E18"/>
    <mergeCell ref="A19"/>
    <mergeCell ref="A20:C20"/>
    <mergeCell ref="A22:E22"/>
    <mergeCell ref="A5:E5"/>
    <mergeCell ref="A6:E6"/>
    <mergeCell ref="A13:E13"/>
    <mergeCell ref="A14:E14"/>
    <mergeCell ref="C15:D15"/>
  </mergeCells>
  <hyperlinks>
    <hyperlink ref="A2" location="'13.2'!A1" display="13.2.3" xr:uid="{00000000-0004-0000-0400-000000000000}"/>
    <hyperlink ref="F2" location="'13.2.3E'!A1" display="1" xr:uid="{00000000-0004-0000-0400-000001000000}"/>
    <hyperlink ref="E10" location="'13.2.3E'!A1" display="'13.2.3E'!A1" xr:uid="{00000000-0004-0000-04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188</v>
      </c>
      <c r="B2" s="5" t="s">
        <v>189</v>
      </c>
      <c r="C2" s="5" t="s">
        <v>37</v>
      </c>
      <c r="D2" s="5" t="s">
        <v>190</v>
      </c>
      <c r="E2" s="5" t="s">
        <v>16</v>
      </c>
      <c r="F2" s="5" t="s">
        <v>266</v>
      </c>
      <c r="G2" s="5">
        <v>5014.6787316</v>
      </c>
      <c r="H2" s="5">
        <v>6010.0924598226002</v>
      </c>
      <c r="I2" s="5">
        <v>24040.369839290401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4</v>
      </c>
      <c r="D8" s="8" t="s">
        <v>231</v>
      </c>
      <c r="E8" s="8">
        <v>4</v>
      </c>
    </row>
    <row r="9" spans="1:9" x14ac:dyDescent="0.25">
      <c r="A9" s="8" t="s">
        <v>198</v>
      </c>
      <c r="B9" s="8" t="s">
        <v>198</v>
      </c>
      <c r="C9" s="8">
        <f>SUBTOTAL(109,Criteria_Summary13.2.48[Elementos])</f>
        <v>4</v>
      </c>
      <c r="D9" s="8" t="s">
        <v>198</v>
      </c>
      <c r="E9" s="8">
        <f>SUBTOTAL(109,Criteria_Summary13.2.48[Total])</f>
        <v>4</v>
      </c>
    </row>
    <row r="10" spans="1:9" x14ac:dyDescent="0.25">
      <c r="A10" s="9" t="s">
        <v>199</v>
      </c>
      <c r="B10" s="9">
        <v>0</v>
      </c>
      <c r="C10" s="10"/>
      <c r="D10" s="10"/>
      <c r="E10" s="9">
        <v>4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4</v>
      </c>
      <c r="C16" s="18" t="s">
        <v>232</v>
      </c>
      <c r="D16" s="18" t="s">
        <v>232</v>
      </c>
      <c r="E16" s="8">
        <v>4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332</v>
      </c>
      <c r="B24" s="18" t="s">
        <v>332</v>
      </c>
      <c r="C24" s="18" t="s">
        <v>332</v>
      </c>
      <c r="D24" s="8" t="s">
        <v>332</v>
      </c>
      <c r="E24" s="8" t="s">
        <v>206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8" xr:uid="{00000000-0004-0000-3100-000000000000}"/>
    <hyperlink ref="F2" location="'13.2.48E'!A1" display="4" xr:uid="{00000000-0004-0000-3100-000001000000}"/>
    <hyperlink ref="E10" location="'13.2.48E'!A1" display="'13.2.48E'!A1" xr:uid="{00000000-0004-0000-31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E22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15</v>
      </c>
      <c r="B1" s="20" t="s">
        <v>15</v>
      </c>
      <c r="C1" s="20" t="s">
        <v>15</v>
      </c>
      <c r="D1" s="20" t="s">
        <v>15</v>
      </c>
      <c r="E1" s="20" t="s">
        <v>15</v>
      </c>
    </row>
    <row r="2" spans="1:5" x14ac:dyDescent="0.25">
      <c r="A2" s="20" t="s">
        <v>15</v>
      </c>
      <c r="B2" s="20" t="s">
        <v>15</v>
      </c>
      <c r="C2" s="20" t="s">
        <v>15</v>
      </c>
      <c r="D2" s="20" t="s">
        <v>15</v>
      </c>
      <c r="E2" s="20" t="s">
        <v>15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339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340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341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342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343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344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345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346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347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348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349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350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351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352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353</v>
      </c>
      <c r="E21" s="8">
        <v>1</v>
      </c>
    </row>
    <row r="22" spans="1:5" x14ac:dyDescent="0.25">
      <c r="A22" s="1" t="s">
        <v>198</v>
      </c>
      <c r="B22" s="1" t="s">
        <v>198</v>
      </c>
      <c r="C22" s="1">
        <f>SUBTOTAL(103,Elements13_2_11[Elemento])</f>
        <v>15</v>
      </c>
      <c r="D22" s="1" t="s">
        <v>198</v>
      </c>
      <c r="E22" s="1">
        <f>SUBTOTAL(109,Elements13_2_11[Totais:])</f>
        <v>15</v>
      </c>
    </row>
  </sheetData>
  <mergeCells count="3">
    <mergeCell ref="A1:E2"/>
    <mergeCell ref="A4:E4"/>
    <mergeCell ref="A5:E5"/>
  </mergeCells>
  <hyperlinks>
    <hyperlink ref="A1" location="'13.2.1'!A1" display="LUVA SOLDAVEL,COM DIAMETRO DE 25MM.FORNECIMENTO" xr:uid="{00000000-0004-0000-3200-000000000000}"/>
    <hyperlink ref="B1" location="'13.2.1'!A1" display="LUVA SOLDAVEL,COM DIAMETRO DE 25MM.FORNECIMENTO" xr:uid="{00000000-0004-0000-3200-000001000000}"/>
    <hyperlink ref="C1" location="'13.2.1'!A1" display="LUVA SOLDAVEL,COM DIAMETRO DE 25MM.FORNECIMENTO" xr:uid="{00000000-0004-0000-3200-000002000000}"/>
    <hyperlink ref="D1" location="'13.2.1'!A1" display="LUVA SOLDAVEL,COM DIAMETRO DE 25MM.FORNECIMENTO" xr:uid="{00000000-0004-0000-3200-000003000000}"/>
    <hyperlink ref="E1" location="'13.2.1'!A1" display="LUVA SOLDAVEL,COM DIAMETRO DE 25MM.FORNECIMENTO" xr:uid="{00000000-0004-0000-3200-000004000000}"/>
    <hyperlink ref="A2" location="'13.2.1'!A1" display="LUVA SOLDAVEL,COM DIAMETRO DE 25MM.FORNECIMENTO" xr:uid="{00000000-0004-0000-3200-000005000000}"/>
    <hyperlink ref="B2" location="'13.2.1'!A1" display="LUVA SOLDAVEL,COM DIAMETRO DE 25MM.FORNECIMENTO" xr:uid="{00000000-0004-0000-3200-000006000000}"/>
    <hyperlink ref="C2" location="'13.2.1'!A1" display="LUVA SOLDAVEL,COM DIAMETRO DE 25MM.FORNECIMENTO" xr:uid="{00000000-0004-0000-3200-000007000000}"/>
    <hyperlink ref="D2" location="'13.2.1'!A1" display="LUVA SOLDAVEL,COM DIAMETRO DE 25MM.FORNECIMENTO" xr:uid="{00000000-0004-0000-3200-000008000000}"/>
    <hyperlink ref="E2" location="'13.2.1'!A1" display="LUVA SOLDAVEL,COM DIAMETRO DE 25MM.FORNECIMENTO" xr:uid="{00000000-0004-0000-3200-000009000000}"/>
    <hyperlink ref="A4" location="'13.2.1'!A1" display="Conexões de tubo (Afastamento)" xr:uid="{00000000-0004-0000-3200-00000A000000}"/>
    <hyperlink ref="B4" location="'13.2.1'!A1" display="Conexões de tubo (Afastamento)" xr:uid="{00000000-0004-0000-3200-00000B000000}"/>
    <hyperlink ref="C4" location="'13.2.1'!A1" display="Conexões de tubo (Afastamento)" xr:uid="{00000000-0004-0000-3200-00000C000000}"/>
    <hyperlink ref="D4" location="'13.2.1'!A1" display="Conexões de tubo (Afastamento)" xr:uid="{00000000-0004-0000-3200-00000D000000}"/>
    <hyperlink ref="E4" location="'13.2.1'!A1" display="Conexões de tubo (Afastamento)" xr:uid="{00000000-0004-0000-3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E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20</v>
      </c>
      <c r="B1" s="20" t="s">
        <v>20</v>
      </c>
      <c r="C1" s="20" t="s">
        <v>20</v>
      </c>
      <c r="D1" s="20" t="s">
        <v>20</v>
      </c>
      <c r="E1" s="20" t="s">
        <v>20</v>
      </c>
    </row>
    <row r="2" spans="1:5" x14ac:dyDescent="0.25">
      <c r="A2" s="20" t="s">
        <v>20</v>
      </c>
      <c r="B2" s="20" t="s">
        <v>20</v>
      </c>
      <c r="C2" s="20" t="s">
        <v>20</v>
      </c>
      <c r="D2" s="20" t="s">
        <v>20</v>
      </c>
      <c r="E2" s="20" t="s">
        <v>20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354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355</v>
      </c>
      <c r="E8" s="8">
        <v>1</v>
      </c>
    </row>
    <row r="9" spans="1:5" x14ac:dyDescent="0.25">
      <c r="A9" s="1" t="s">
        <v>198</v>
      </c>
      <c r="B9" s="1" t="s">
        <v>198</v>
      </c>
      <c r="C9" s="1">
        <f>SUBTOTAL(103,Elements13_2_21[Elemento])</f>
        <v>2</v>
      </c>
      <c r="D9" s="1" t="s">
        <v>198</v>
      </c>
      <c r="E9" s="1">
        <f>SUBTOTAL(109,Elements13_2_21[Totais:])</f>
        <v>2</v>
      </c>
    </row>
  </sheetData>
  <mergeCells count="3">
    <mergeCell ref="A1:E2"/>
    <mergeCell ref="A4:E4"/>
    <mergeCell ref="A5:E5"/>
  </mergeCells>
  <hyperlinks>
    <hyperlink ref="A1" location="'13.2.2'!A1" display="LUVA SOLDAVEL,COM DIAMETRO DE 60MM.FORNECIMENTO" xr:uid="{00000000-0004-0000-3300-000000000000}"/>
    <hyperlink ref="B1" location="'13.2.2'!A1" display="LUVA SOLDAVEL,COM DIAMETRO DE 60MM.FORNECIMENTO" xr:uid="{00000000-0004-0000-3300-000001000000}"/>
    <hyperlink ref="C1" location="'13.2.2'!A1" display="LUVA SOLDAVEL,COM DIAMETRO DE 60MM.FORNECIMENTO" xr:uid="{00000000-0004-0000-3300-000002000000}"/>
    <hyperlink ref="D1" location="'13.2.2'!A1" display="LUVA SOLDAVEL,COM DIAMETRO DE 60MM.FORNECIMENTO" xr:uid="{00000000-0004-0000-3300-000003000000}"/>
    <hyperlink ref="E1" location="'13.2.2'!A1" display="LUVA SOLDAVEL,COM DIAMETRO DE 60MM.FORNECIMENTO" xr:uid="{00000000-0004-0000-3300-000004000000}"/>
    <hyperlink ref="A2" location="'13.2.2'!A1" display="LUVA SOLDAVEL,COM DIAMETRO DE 60MM.FORNECIMENTO" xr:uid="{00000000-0004-0000-3300-000005000000}"/>
    <hyperlink ref="B2" location="'13.2.2'!A1" display="LUVA SOLDAVEL,COM DIAMETRO DE 60MM.FORNECIMENTO" xr:uid="{00000000-0004-0000-3300-000006000000}"/>
    <hyperlink ref="C2" location="'13.2.2'!A1" display="LUVA SOLDAVEL,COM DIAMETRO DE 60MM.FORNECIMENTO" xr:uid="{00000000-0004-0000-3300-000007000000}"/>
    <hyperlink ref="D2" location="'13.2.2'!A1" display="LUVA SOLDAVEL,COM DIAMETRO DE 60MM.FORNECIMENTO" xr:uid="{00000000-0004-0000-3300-000008000000}"/>
    <hyperlink ref="E2" location="'13.2.2'!A1" display="LUVA SOLDAVEL,COM DIAMETRO DE 60MM.FORNECIMENTO" xr:uid="{00000000-0004-0000-3300-000009000000}"/>
    <hyperlink ref="A4" location="'13.2.2'!A1" display="Conexões de tubo (Afastamento)" xr:uid="{00000000-0004-0000-3300-00000A000000}"/>
    <hyperlink ref="B4" location="'13.2.2'!A1" display="Conexões de tubo (Afastamento)" xr:uid="{00000000-0004-0000-3300-00000B000000}"/>
    <hyperlink ref="C4" location="'13.2.2'!A1" display="Conexões de tubo (Afastamento)" xr:uid="{00000000-0004-0000-3300-00000C000000}"/>
    <hyperlink ref="D4" location="'13.2.2'!A1" display="Conexões de tubo (Afastamento)" xr:uid="{00000000-0004-0000-3300-00000D000000}"/>
    <hyperlink ref="E4" location="'13.2.2'!A1" display="Conexões de tubo (Afastamento)" xr:uid="{00000000-0004-0000-3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24</v>
      </c>
      <c r="B1" s="20" t="s">
        <v>24</v>
      </c>
      <c r="C1" s="20" t="s">
        <v>24</v>
      </c>
      <c r="D1" s="20" t="s">
        <v>24</v>
      </c>
      <c r="E1" s="20" t="s">
        <v>24</v>
      </c>
    </row>
    <row r="2" spans="1:5" x14ac:dyDescent="0.25">
      <c r="A2" s="20" t="s">
        <v>24</v>
      </c>
      <c r="B2" s="20" t="s">
        <v>24</v>
      </c>
      <c r="C2" s="20" t="s">
        <v>24</v>
      </c>
      <c r="D2" s="20" t="s">
        <v>24</v>
      </c>
      <c r="E2" s="20" t="s">
        <v>24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356</v>
      </c>
      <c r="E7" s="8">
        <v>1</v>
      </c>
    </row>
    <row r="8" spans="1:5" x14ac:dyDescent="0.25">
      <c r="A8" s="1" t="s">
        <v>198</v>
      </c>
      <c r="B8" s="1" t="s">
        <v>198</v>
      </c>
      <c r="C8" s="1">
        <f>SUBTOTAL(103,Elements13_2_31[Elemento])</f>
        <v>1</v>
      </c>
      <c r="D8" s="1" t="s">
        <v>198</v>
      </c>
      <c r="E8" s="1">
        <f>SUBTOTAL(109,Elements13_2_31[Totais:])</f>
        <v>1</v>
      </c>
    </row>
  </sheetData>
  <mergeCells count="3">
    <mergeCell ref="A1:E2"/>
    <mergeCell ref="A4:E4"/>
    <mergeCell ref="A5:E5"/>
  </mergeCells>
  <hyperlinks>
    <hyperlink ref="A1" location="'13.2.3'!A1" display="LUVA SOLDAVEL,COM DIAMETRO DE 50MM.FORNECIMENTO" xr:uid="{00000000-0004-0000-3400-000000000000}"/>
    <hyperlink ref="B1" location="'13.2.3'!A1" display="LUVA SOLDAVEL,COM DIAMETRO DE 50MM.FORNECIMENTO" xr:uid="{00000000-0004-0000-3400-000001000000}"/>
    <hyperlink ref="C1" location="'13.2.3'!A1" display="LUVA SOLDAVEL,COM DIAMETRO DE 50MM.FORNECIMENTO" xr:uid="{00000000-0004-0000-3400-000002000000}"/>
    <hyperlink ref="D1" location="'13.2.3'!A1" display="LUVA SOLDAVEL,COM DIAMETRO DE 50MM.FORNECIMENTO" xr:uid="{00000000-0004-0000-3400-000003000000}"/>
    <hyperlink ref="E1" location="'13.2.3'!A1" display="LUVA SOLDAVEL,COM DIAMETRO DE 50MM.FORNECIMENTO" xr:uid="{00000000-0004-0000-3400-000004000000}"/>
    <hyperlink ref="A2" location="'13.2.3'!A1" display="LUVA SOLDAVEL,COM DIAMETRO DE 50MM.FORNECIMENTO" xr:uid="{00000000-0004-0000-3400-000005000000}"/>
    <hyperlink ref="B2" location="'13.2.3'!A1" display="LUVA SOLDAVEL,COM DIAMETRO DE 50MM.FORNECIMENTO" xr:uid="{00000000-0004-0000-3400-000006000000}"/>
    <hyperlink ref="C2" location="'13.2.3'!A1" display="LUVA SOLDAVEL,COM DIAMETRO DE 50MM.FORNECIMENTO" xr:uid="{00000000-0004-0000-3400-000007000000}"/>
    <hyperlink ref="D2" location="'13.2.3'!A1" display="LUVA SOLDAVEL,COM DIAMETRO DE 50MM.FORNECIMENTO" xr:uid="{00000000-0004-0000-3400-000008000000}"/>
    <hyperlink ref="E2" location="'13.2.3'!A1" display="LUVA SOLDAVEL,COM DIAMETRO DE 50MM.FORNECIMENTO" xr:uid="{00000000-0004-0000-3400-000009000000}"/>
    <hyperlink ref="A4" location="'13.2.3'!A1" display="Conexões de tubo (Afastamento)" xr:uid="{00000000-0004-0000-3400-00000A000000}"/>
    <hyperlink ref="B4" location="'13.2.3'!A1" display="Conexões de tubo (Afastamento)" xr:uid="{00000000-0004-0000-3400-00000B000000}"/>
    <hyperlink ref="C4" location="'13.2.3'!A1" display="Conexões de tubo (Afastamento)" xr:uid="{00000000-0004-0000-3400-00000C000000}"/>
    <hyperlink ref="D4" location="'13.2.3'!A1" display="Conexões de tubo (Afastamento)" xr:uid="{00000000-0004-0000-3400-00000D000000}"/>
    <hyperlink ref="E4" location="'13.2.3'!A1" display="Conexões de tubo (Afastamento)" xr:uid="{00000000-0004-0000-3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E24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28</v>
      </c>
      <c r="B1" s="20" t="s">
        <v>28</v>
      </c>
      <c r="C1" s="20" t="s">
        <v>28</v>
      </c>
      <c r="D1" s="20" t="s">
        <v>28</v>
      </c>
      <c r="E1" s="20" t="s">
        <v>28</v>
      </c>
    </row>
    <row r="2" spans="1:5" x14ac:dyDescent="0.25">
      <c r="A2" s="20" t="s">
        <v>28</v>
      </c>
      <c r="B2" s="20" t="s">
        <v>28</v>
      </c>
      <c r="C2" s="20" t="s">
        <v>28</v>
      </c>
      <c r="D2" s="20" t="s">
        <v>28</v>
      </c>
      <c r="E2" s="20" t="s">
        <v>28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357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358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359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360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361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362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363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364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365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366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367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368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369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370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371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372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373</v>
      </c>
      <c r="E23" s="8">
        <v>1</v>
      </c>
    </row>
    <row r="24" spans="1:5" x14ac:dyDescent="0.25">
      <c r="A24" s="1" t="s">
        <v>198</v>
      </c>
      <c r="B24" s="1" t="s">
        <v>198</v>
      </c>
      <c r="C24" s="1">
        <f>SUBTOTAL(103,Elements13_2_41[Elemento])</f>
        <v>17</v>
      </c>
      <c r="D24" s="1" t="s">
        <v>198</v>
      </c>
      <c r="E24" s="1">
        <f>SUBTOTAL(109,Elements13_2_41[Totais:])</f>
        <v>17</v>
      </c>
    </row>
  </sheetData>
  <mergeCells count="3">
    <mergeCell ref="A1:E2"/>
    <mergeCell ref="A4:E4"/>
    <mergeCell ref="A5:E5"/>
  </mergeCells>
  <hyperlinks>
    <hyperlink ref="A1" location="'13.2.4'!A1" display="LUVA SOLDAVEL E COM BUCHA DE LATAO,COM DIAMETRO DE 25MMX3/4&quot; .FORNECIMENTO" xr:uid="{00000000-0004-0000-3500-000000000000}"/>
    <hyperlink ref="B1" location="'13.2.4'!A1" display="LUVA SOLDAVEL E COM BUCHA DE LATAO,COM DIAMETRO DE 25MMX3/4&quot; .FORNECIMENTO" xr:uid="{00000000-0004-0000-3500-000001000000}"/>
    <hyperlink ref="C1" location="'13.2.4'!A1" display="LUVA SOLDAVEL E COM BUCHA DE LATAO,COM DIAMETRO DE 25MMX3/4&quot; .FORNECIMENTO" xr:uid="{00000000-0004-0000-3500-000002000000}"/>
    <hyperlink ref="D1" location="'13.2.4'!A1" display="LUVA SOLDAVEL E COM BUCHA DE LATAO,COM DIAMETRO DE 25MMX3/4&quot; .FORNECIMENTO" xr:uid="{00000000-0004-0000-3500-000003000000}"/>
    <hyperlink ref="E1" location="'13.2.4'!A1" display="LUVA SOLDAVEL E COM BUCHA DE LATAO,COM DIAMETRO DE 25MMX3/4&quot; .FORNECIMENTO" xr:uid="{00000000-0004-0000-3500-000004000000}"/>
    <hyperlink ref="A2" location="'13.2.4'!A1" display="LUVA SOLDAVEL E COM BUCHA DE LATAO,COM DIAMETRO DE 25MMX3/4&quot; .FORNECIMENTO" xr:uid="{00000000-0004-0000-3500-000005000000}"/>
    <hyperlink ref="B2" location="'13.2.4'!A1" display="LUVA SOLDAVEL E COM BUCHA DE LATAO,COM DIAMETRO DE 25MMX3/4&quot; .FORNECIMENTO" xr:uid="{00000000-0004-0000-3500-000006000000}"/>
    <hyperlink ref="C2" location="'13.2.4'!A1" display="LUVA SOLDAVEL E COM BUCHA DE LATAO,COM DIAMETRO DE 25MMX3/4&quot; .FORNECIMENTO" xr:uid="{00000000-0004-0000-3500-000007000000}"/>
    <hyperlink ref="D2" location="'13.2.4'!A1" display="LUVA SOLDAVEL E COM BUCHA DE LATAO,COM DIAMETRO DE 25MMX3/4&quot; .FORNECIMENTO" xr:uid="{00000000-0004-0000-3500-000008000000}"/>
    <hyperlink ref="E2" location="'13.2.4'!A1" display="LUVA SOLDAVEL E COM BUCHA DE LATAO,COM DIAMETRO DE 25MMX3/4&quot; .FORNECIMENTO" xr:uid="{00000000-0004-0000-3500-000009000000}"/>
    <hyperlink ref="A4" location="'13.2.4'!A1" display="Conexões de tubo (Afastamento)" xr:uid="{00000000-0004-0000-3500-00000A000000}"/>
    <hyperlink ref="B4" location="'13.2.4'!A1" display="Conexões de tubo (Afastamento)" xr:uid="{00000000-0004-0000-3500-00000B000000}"/>
    <hyperlink ref="C4" location="'13.2.4'!A1" display="Conexões de tubo (Afastamento)" xr:uid="{00000000-0004-0000-3500-00000C000000}"/>
    <hyperlink ref="D4" location="'13.2.4'!A1" display="Conexões de tubo (Afastamento)" xr:uid="{00000000-0004-0000-3500-00000D000000}"/>
    <hyperlink ref="E4" location="'13.2.4'!A1" display="Conexões de tubo (Afastamento)" xr:uid="{00000000-0004-0000-3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E1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33</v>
      </c>
      <c r="B1" s="20" t="s">
        <v>33</v>
      </c>
      <c r="C1" s="20" t="s">
        <v>33</v>
      </c>
      <c r="D1" s="20" t="s">
        <v>33</v>
      </c>
      <c r="E1" s="20" t="s">
        <v>33</v>
      </c>
    </row>
    <row r="2" spans="1:5" x14ac:dyDescent="0.25">
      <c r="A2" s="20" t="s">
        <v>33</v>
      </c>
      <c r="B2" s="20" t="s">
        <v>33</v>
      </c>
      <c r="C2" s="20" t="s">
        <v>33</v>
      </c>
      <c r="D2" s="20" t="s">
        <v>33</v>
      </c>
      <c r="E2" s="20" t="s">
        <v>33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374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375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376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377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378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379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380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381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382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383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384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385</v>
      </c>
      <c r="E18" s="8">
        <v>1</v>
      </c>
    </row>
    <row r="19" spans="1:5" x14ac:dyDescent="0.25">
      <c r="A19" s="1" t="s">
        <v>198</v>
      </c>
      <c r="B19" s="1" t="s">
        <v>198</v>
      </c>
      <c r="C19" s="1">
        <f>SUBTOTAL(103,Elements13_2_51[Elemento])</f>
        <v>12</v>
      </c>
      <c r="D19" s="1" t="s">
        <v>198</v>
      </c>
      <c r="E19" s="1">
        <f>SUBTOTAL(109,Elements13_2_51[Totais:])</f>
        <v>12</v>
      </c>
    </row>
  </sheetData>
  <mergeCells count="3">
    <mergeCell ref="A1:E2"/>
    <mergeCell ref="A4:E4"/>
    <mergeCell ref="A5:E5"/>
  </mergeCells>
  <hyperlinks>
    <hyperlink ref="A1" location="'13.2.5'!A1" display="LUVA DE REDUÇÃO, PVC, SOLDÁVEL, DN 50MM X 25MM, INSTALADO EM PRUMADA DE ÁGUA   FORNECIMENTO E INSTALAÇÃO. AF_06/2022" xr:uid="{00000000-0004-0000-3600-000000000000}"/>
    <hyperlink ref="B1" location="'13.2.5'!A1" display="LUVA DE REDUÇÃO, PVC, SOLDÁVEL, DN 50MM X 25MM, INSTALADO EM PRUMADA DE ÁGUA   FORNECIMENTO E INSTALAÇÃO. AF_06/2022" xr:uid="{00000000-0004-0000-3600-000001000000}"/>
    <hyperlink ref="C1" location="'13.2.5'!A1" display="LUVA DE REDUÇÃO, PVC, SOLDÁVEL, DN 50MM X 25MM, INSTALADO EM PRUMADA DE ÁGUA   FORNECIMENTO E INSTALAÇÃO. AF_06/2022" xr:uid="{00000000-0004-0000-3600-000002000000}"/>
    <hyperlink ref="D1" location="'13.2.5'!A1" display="LUVA DE REDUÇÃO, PVC, SOLDÁVEL, DN 50MM X 25MM, INSTALADO EM PRUMADA DE ÁGUA   FORNECIMENTO E INSTALAÇÃO. AF_06/2022" xr:uid="{00000000-0004-0000-3600-000003000000}"/>
    <hyperlink ref="E1" location="'13.2.5'!A1" display="LUVA DE REDUÇÃO, PVC, SOLDÁVEL, DN 50MM X 25MM, INSTALADO EM PRUMADA DE ÁGUA   FORNECIMENTO E INSTALAÇÃO. AF_06/2022" xr:uid="{00000000-0004-0000-3600-000004000000}"/>
    <hyperlink ref="A2" location="'13.2.5'!A1" display="LUVA DE REDUÇÃO, PVC, SOLDÁVEL, DN 50MM X 25MM, INSTALADO EM PRUMADA DE ÁGUA   FORNECIMENTO E INSTALAÇÃO. AF_06/2022" xr:uid="{00000000-0004-0000-3600-000005000000}"/>
    <hyperlink ref="B2" location="'13.2.5'!A1" display="LUVA DE REDUÇÃO, PVC, SOLDÁVEL, DN 50MM X 25MM, INSTALADO EM PRUMADA DE ÁGUA   FORNECIMENTO E INSTALAÇÃO. AF_06/2022" xr:uid="{00000000-0004-0000-3600-000006000000}"/>
    <hyperlink ref="C2" location="'13.2.5'!A1" display="LUVA DE REDUÇÃO, PVC, SOLDÁVEL, DN 50MM X 25MM, INSTALADO EM PRUMADA DE ÁGUA   FORNECIMENTO E INSTALAÇÃO. AF_06/2022" xr:uid="{00000000-0004-0000-3600-000007000000}"/>
    <hyperlink ref="D2" location="'13.2.5'!A1" display="LUVA DE REDUÇÃO, PVC, SOLDÁVEL, DN 50MM X 25MM, INSTALADO EM PRUMADA DE ÁGUA   FORNECIMENTO E INSTALAÇÃO. AF_06/2022" xr:uid="{00000000-0004-0000-3600-000008000000}"/>
    <hyperlink ref="E2" location="'13.2.5'!A1" display="LUVA DE REDUÇÃO, PVC, SOLDÁVEL, DN 50MM X 25MM, INSTALADO EM PRUMADA DE ÁGUA   FORNECIMENTO E INSTALAÇÃO. AF_06/2022" xr:uid="{00000000-0004-0000-3600-000009000000}"/>
    <hyperlink ref="A4" location="'13.2.5'!A1" display="Conexões de tubo (Afastamento)" xr:uid="{00000000-0004-0000-3600-00000A000000}"/>
    <hyperlink ref="B4" location="'13.2.5'!A1" display="Conexões de tubo (Afastamento)" xr:uid="{00000000-0004-0000-3600-00000B000000}"/>
    <hyperlink ref="C4" location="'13.2.5'!A1" display="Conexões de tubo (Afastamento)" xr:uid="{00000000-0004-0000-3600-00000C000000}"/>
    <hyperlink ref="D4" location="'13.2.5'!A1" display="Conexões de tubo (Afastamento)" xr:uid="{00000000-0004-0000-3600-00000D000000}"/>
    <hyperlink ref="E4" location="'13.2.5'!A1" display="Conexões de tubo (Afastamento)" xr:uid="{00000000-0004-0000-3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E22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38</v>
      </c>
      <c r="B1" s="20" t="s">
        <v>38</v>
      </c>
      <c r="C1" s="20" t="s">
        <v>38</v>
      </c>
      <c r="D1" s="20" t="s">
        <v>38</v>
      </c>
      <c r="E1" s="20" t="s">
        <v>38</v>
      </c>
    </row>
    <row r="2" spans="1:5" x14ac:dyDescent="0.25">
      <c r="A2" s="20" t="s">
        <v>38</v>
      </c>
      <c r="B2" s="20" t="s">
        <v>38</v>
      </c>
      <c r="C2" s="20" t="s">
        <v>38</v>
      </c>
      <c r="D2" s="20" t="s">
        <v>38</v>
      </c>
      <c r="E2" s="20" t="s">
        <v>38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234</v>
      </c>
      <c r="D7" s="8" t="s">
        <v>386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234</v>
      </c>
      <c r="D8" s="8" t="s">
        <v>387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234</v>
      </c>
      <c r="D9" s="8" t="s">
        <v>388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234</v>
      </c>
      <c r="D10" s="8" t="s">
        <v>389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234</v>
      </c>
      <c r="D11" s="8" t="s">
        <v>390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234</v>
      </c>
      <c r="D12" s="8" t="s">
        <v>391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234</v>
      </c>
      <c r="D13" s="8" t="s">
        <v>392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234</v>
      </c>
      <c r="D14" s="8" t="s">
        <v>393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234</v>
      </c>
      <c r="D15" s="8" t="s">
        <v>394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234</v>
      </c>
      <c r="D16" s="8" t="s">
        <v>395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234</v>
      </c>
      <c r="D17" s="8" t="s">
        <v>396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234</v>
      </c>
      <c r="D18" s="8" t="s">
        <v>397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234</v>
      </c>
      <c r="D19" s="8" t="s">
        <v>398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234</v>
      </c>
      <c r="D20" s="8" t="s">
        <v>399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234</v>
      </c>
      <c r="D21" s="8" t="s">
        <v>400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234</v>
      </c>
      <c r="D22" s="8" t="s">
        <v>401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234</v>
      </c>
      <c r="D23" s="8" t="s">
        <v>402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234</v>
      </c>
      <c r="D24" s="8" t="s">
        <v>403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234</v>
      </c>
      <c r="D25" s="8" t="s">
        <v>404</v>
      </c>
      <c r="E25" s="8">
        <v>1</v>
      </c>
    </row>
    <row r="26" spans="1:5" ht="24.75" x14ac:dyDescent="0.25">
      <c r="A26" s="8" t="s">
        <v>338</v>
      </c>
      <c r="B26" s="8" t="s">
        <v>224</v>
      </c>
      <c r="C26" s="8" t="s">
        <v>234</v>
      </c>
      <c r="D26" s="8" t="s">
        <v>405</v>
      </c>
      <c r="E26" s="8">
        <v>1</v>
      </c>
    </row>
    <row r="27" spans="1:5" ht="24.75" x14ac:dyDescent="0.25">
      <c r="A27" s="8" t="s">
        <v>338</v>
      </c>
      <c r="B27" s="8" t="s">
        <v>224</v>
      </c>
      <c r="C27" s="8" t="s">
        <v>234</v>
      </c>
      <c r="D27" s="8" t="s">
        <v>406</v>
      </c>
      <c r="E27" s="8">
        <v>1</v>
      </c>
    </row>
    <row r="28" spans="1:5" ht="24.75" x14ac:dyDescent="0.25">
      <c r="A28" s="8" t="s">
        <v>338</v>
      </c>
      <c r="B28" s="8" t="s">
        <v>224</v>
      </c>
      <c r="C28" s="8" t="s">
        <v>234</v>
      </c>
      <c r="D28" s="8" t="s">
        <v>407</v>
      </c>
      <c r="E28" s="8">
        <v>1</v>
      </c>
    </row>
    <row r="29" spans="1:5" ht="24.75" x14ac:dyDescent="0.25">
      <c r="A29" s="8" t="s">
        <v>338</v>
      </c>
      <c r="B29" s="8" t="s">
        <v>224</v>
      </c>
      <c r="C29" s="8" t="s">
        <v>234</v>
      </c>
      <c r="D29" s="8" t="s">
        <v>408</v>
      </c>
      <c r="E29" s="8">
        <v>1</v>
      </c>
    </row>
    <row r="30" spans="1:5" ht="24.75" x14ac:dyDescent="0.25">
      <c r="A30" s="8" t="s">
        <v>338</v>
      </c>
      <c r="B30" s="8" t="s">
        <v>224</v>
      </c>
      <c r="C30" s="8" t="s">
        <v>234</v>
      </c>
      <c r="D30" s="8" t="s">
        <v>409</v>
      </c>
      <c r="E30" s="8">
        <v>1</v>
      </c>
    </row>
    <row r="31" spans="1:5" ht="24.75" x14ac:dyDescent="0.25">
      <c r="A31" s="8" t="s">
        <v>338</v>
      </c>
      <c r="B31" s="8" t="s">
        <v>224</v>
      </c>
      <c r="C31" s="8" t="s">
        <v>234</v>
      </c>
      <c r="D31" s="8" t="s">
        <v>410</v>
      </c>
      <c r="E31" s="8">
        <v>1</v>
      </c>
    </row>
    <row r="32" spans="1:5" ht="24.75" x14ac:dyDescent="0.25">
      <c r="A32" s="8" t="s">
        <v>338</v>
      </c>
      <c r="B32" s="8" t="s">
        <v>224</v>
      </c>
      <c r="C32" s="8" t="s">
        <v>234</v>
      </c>
      <c r="D32" s="8" t="s">
        <v>411</v>
      </c>
      <c r="E32" s="8">
        <v>1</v>
      </c>
    </row>
    <row r="33" spans="1:5" ht="24.75" x14ac:dyDescent="0.25">
      <c r="A33" s="8" t="s">
        <v>338</v>
      </c>
      <c r="B33" s="8" t="s">
        <v>224</v>
      </c>
      <c r="C33" s="8" t="s">
        <v>234</v>
      </c>
      <c r="D33" s="8" t="s">
        <v>412</v>
      </c>
      <c r="E33" s="8">
        <v>1</v>
      </c>
    </row>
    <row r="34" spans="1:5" ht="24.75" x14ac:dyDescent="0.25">
      <c r="A34" s="8" t="s">
        <v>338</v>
      </c>
      <c r="B34" s="8" t="s">
        <v>224</v>
      </c>
      <c r="C34" s="8" t="s">
        <v>234</v>
      </c>
      <c r="D34" s="8" t="s">
        <v>413</v>
      </c>
      <c r="E34" s="8">
        <v>1</v>
      </c>
    </row>
    <row r="35" spans="1:5" ht="24.75" x14ac:dyDescent="0.25">
      <c r="A35" s="8" t="s">
        <v>338</v>
      </c>
      <c r="B35" s="8" t="s">
        <v>224</v>
      </c>
      <c r="C35" s="8" t="s">
        <v>234</v>
      </c>
      <c r="D35" s="8" t="s">
        <v>414</v>
      </c>
      <c r="E35" s="8">
        <v>1</v>
      </c>
    </row>
    <row r="36" spans="1:5" ht="24.75" x14ac:dyDescent="0.25">
      <c r="A36" s="8" t="s">
        <v>338</v>
      </c>
      <c r="B36" s="8" t="s">
        <v>224</v>
      </c>
      <c r="C36" s="8" t="s">
        <v>234</v>
      </c>
      <c r="D36" s="8" t="s">
        <v>415</v>
      </c>
      <c r="E36" s="8">
        <v>1</v>
      </c>
    </row>
    <row r="37" spans="1:5" ht="24.75" x14ac:dyDescent="0.25">
      <c r="A37" s="8" t="s">
        <v>338</v>
      </c>
      <c r="B37" s="8" t="s">
        <v>224</v>
      </c>
      <c r="C37" s="8" t="s">
        <v>234</v>
      </c>
      <c r="D37" s="8" t="s">
        <v>416</v>
      </c>
      <c r="E37" s="8">
        <v>1</v>
      </c>
    </row>
    <row r="38" spans="1:5" ht="24.75" x14ac:dyDescent="0.25">
      <c r="A38" s="8" t="s">
        <v>338</v>
      </c>
      <c r="B38" s="8" t="s">
        <v>224</v>
      </c>
      <c r="C38" s="8" t="s">
        <v>234</v>
      </c>
      <c r="D38" s="8" t="s">
        <v>417</v>
      </c>
      <c r="E38" s="8">
        <v>1</v>
      </c>
    </row>
    <row r="39" spans="1:5" ht="24.75" x14ac:dyDescent="0.25">
      <c r="A39" s="8" t="s">
        <v>338</v>
      </c>
      <c r="B39" s="8" t="s">
        <v>224</v>
      </c>
      <c r="C39" s="8" t="s">
        <v>234</v>
      </c>
      <c r="D39" s="8" t="s">
        <v>418</v>
      </c>
      <c r="E39" s="8">
        <v>1</v>
      </c>
    </row>
    <row r="40" spans="1:5" ht="24.75" x14ac:dyDescent="0.25">
      <c r="A40" s="8" t="s">
        <v>338</v>
      </c>
      <c r="B40" s="8" t="s">
        <v>224</v>
      </c>
      <c r="C40" s="8" t="s">
        <v>234</v>
      </c>
      <c r="D40" s="8" t="s">
        <v>419</v>
      </c>
      <c r="E40" s="8">
        <v>1</v>
      </c>
    </row>
    <row r="41" spans="1:5" ht="24.75" x14ac:dyDescent="0.25">
      <c r="A41" s="8" t="s">
        <v>338</v>
      </c>
      <c r="B41" s="8" t="s">
        <v>224</v>
      </c>
      <c r="C41" s="8" t="s">
        <v>234</v>
      </c>
      <c r="D41" s="8" t="s">
        <v>420</v>
      </c>
      <c r="E41" s="8">
        <v>1</v>
      </c>
    </row>
    <row r="42" spans="1:5" ht="24.75" x14ac:dyDescent="0.25">
      <c r="A42" s="8" t="s">
        <v>338</v>
      </c>
      <c r="B42" s="8" t="s">
        <v>224</v>
      </c>
      <c r="C42" s="8" t="s">
        <v>234</v>
      </c>
      <c r="D42" s="8" t="s">
        <v>421</v>
      </c>
      <c r="E42" s="8">
        <v>1</v>
      </c>
    </row>
    <row r="43" spans="1:5" ht="24.75" x14ac:dyDescent="0.25">
      <c r="A43" s="8" t="s">
        <v>338</v>
      </c>
      <c r="B43" s="8" t="s">
        <v>224</v>
      </c>
      <c r="C43" s="8" t="s">
        <v>234</v>
      </c>
      <c r="D43" s="8" t="s">
        <v>422</v>
      </c>
      <c r="E43" s="8">
        <v>1</v>
      </c>
    </row>
    <row r="44" spans="1:5" ht="24.75" x14ac:dyDescent="0.25">
      <c r="A44" s="8" t="s">
        <v>338</v>
      </c>
      <c r="B44" s="8" t="s">
        <v>224</v>
      </c>
      <c r="C44" s="8" t="s">
        <v>234</v>
      </c>
      <c r="D44" s="8" t="s">
        <v>423</v>
      </c>
      <c r="E44" s="8">
        <v>1</v>
      </c>
    </row>
    <row r="45" spans="1:5" ht="24.75" x14ac:dyDescent="0.25">
      <c r="A45" s="8" t="s">
        <v>338</v>
      </c>
      <c r="B45" s="8" t="s">
        <v>224</v>
      </c>
      <c r="C45" s="8" t="s">
        <v>234</v>
      </c>
      <c r="D45" s="8" t="s">
        <v>424</v>
      </c>
      <c r="E45" s="8">
        <v>1</v>
      </c>
    </row>
    <row r="46" spans="1:5" ht="24.75" x14ac:dyDescent="0.25">
      <c r="A46" s="8" t="s">
        <v>338</v>
      </c>
      <c r="B46" s="8" t="s">
        <v>224</v>
      </c>
      <c r="C46" s="8" t="s">
        <v>234</v>
      </c>
      <c r="D46" s="8" t="s">
        <v>425</v>
      </c>
      <c r="E46" s="8">
        <v>1</v>
      </c>
    </row>
    <row r="47" spans="1:5" ht="24.75" x14ac:dyDescent="0.25">
      <c r="A47" s="8" t="s">
        <v>338</v>
      </c>
      <c r="B47" s="8" t="s">
        <v>224</v>
      </c>
      <c r="C47" s="8" t="s">
        <v>234</v>
      </c>
      <c r="D47" s="8" t="s">
        <v>426</v>
      </c>
      <c r="E47" s="8">
        <v>1</v>
      </c>
    </row>
    <row r="48" spans="1:5" ht="24.75" x14ac:dyDescent="0.25">
      <c r="A48" s="8" t="s">
        <v>338</v>
      </c>
      <c r="B48" s="8" t="s">
        <v>224</v>
      </c>
      <c r="C48" s="8" t="s">
        <v>234</v>
      </c>
      <c r="D48" s="8" t="s">
        <v>427</v>
      </c>
      <c r="E48" s="8">
        <v>1</v>
      </c>
    </row>
    <row r="49" spans="1:5" ht="24.75" x14ac:dyDescent="0.25">
      <c r="A49" s="8" t="s">
        <v>338</v>
      </c>
      <c r="B49" s="8" t="s">
        <v>224</v>
      </c>
      <c r="C49" s="8" t="s">
        <v>234</v>
      </c>
      <c r="D49" s="8" t="s">
        <v>428</v>
      </c>
      <c r="E49" s="8">
        <v>1</v>
      </c>
    </row>
    <row r="50" spans="1:5" ht="24.75" x14ac:dyDescent="0.25">
      <c r="A50" s="8" t="s">
        <v>338</v>
      </c>
      <c r="B50" s="8" t="s">
        <v>224</v>
      </c>
      <c r="C50" s="8" t="s">
        <v>234</v>
      </c>
      <c r="D50" s="8" t="s">
        <v>429</v>
      </c>
      <c r="E50" s="8">
        <v>1</v>
      </c>
    </row>
    <row r="51" spans="1:5" ht="24.75" x14ac:dyDescent="0.25">
      <c r="A51" s="8" t="s">
        <v>338</v>
      </c>
      <c r="B51" s="8" t="s">
        <v>224</v>
      </c>
      <c r="C51" s="8" t="s">
        <v>234</v>
      </c>
      <c r="D51" s="8" t="s">
        <v>430</v>
      </c>
      <c r="E51" s="8">
        <v>1</v>
      </c>
    </row>
    <row r="52" spans="1:5" ht="24.75" x14ac:dyDescent="0.25">
      <c r="A52" s="8" t="s">
        <v>338</v>
      </c>
      <c r="B52" s="8" t="s">
        <v>224</v>
      </c>
      <c r="C52" s="8" t="s">
        <v>234</v>
      </c>
      <c r="D52" s="8" t="s">
        <v>431</v>
      </c>
      <c r="E52" s="8">
        <v>1</v>
      </c>
    </row>
    <row r="53" spans="1:5" ht="24.75" x14ac:dyDescent="0.25">
      <c r="A53" s="8" t="s">
        <v>338</v>
      </c>
      <c r="B53" s="8" t="s">
        <v>224</v>
      </c>
      <c r="C53" s="8" t="s">
        <v>234</v>
      </c>
      <c r="D53" s="8" t="s">
        <v>432</v>
      </c>
      <c r="E53" s="8">
        <v>1</v>
      </c>
    </row>
    <row r="54" spans="1:5" ht="24.75" x14ac:dyDescent="0.25">
      <c r="A54" s="8" t="s">
        <v>338</v>
      </c>
      <c r="B54" s="8" t="s">
        <v>224</v>
      </c>
      <c r="C54" s="8" t="s">
        <v>234</v>
      </c>
      <c r="D54" s="8" t="s">
        <v>433</v>
      </c>
      <c r="E54" s="8">
        <v>1</v>
      </c>
    </row>
    <row r="55" spans="1:5" ht="24.75" x14ac:dyDescent="0.25">
      <c r="A55" s="8" t="s">
        <v>338</v>
      </c>
      <c r="B55" s="8" t="s">
        <v>224</v>
      </c>
      <c r="C55" s="8" t="s">
        <v>234</v>
      </c>
      <c r="D55" s="8" t="s">
        <v>434</v>
      </c>
      <c r="E55" s="8">
        <v>1</v>
      </c>
    </row>
    <row r="56" spans="1:5" ht="24.75" x14ac:dyDescent="0.25">
      <c r="A56" s="8" t="s">
        <v>338</v>
      </c>
      <c r="B56" s="8" t="s">
        <v>224</v>
      </c>
      <c r="C56" s="8" t="s">
        <v>234</v>
      </c>
      <c r="D56" s="8" t="s">
        <v>435</v>
      </c>
      <c r="E56" s="8">
        <v>1</v>
      </c>
    </row>
    <row r="57" spans="1:5" ht="24.75" x14ac:dyDescent="0.25">
      <c r="A57" s="8" t="s">
        <v>338</v>
      </c>
      <c r="B57" s="8" t="s">
        <v>224</v>
      </c>
      <c r="C57" s="8" t="s">
        <v>234</v>
      </c>
      <c r="D57" s="8" t="s">
        <v>436</v>
      </c>
      <c r="E57" s="8">
        <v>1</v>
      </c>
    </row>
    <row r="58" spans="1:5" ht="24.75" x14ac:dyDescent="0.25">
      <c r="A58" s="8" t="s">
        <v>338</v>
      </c>
      <c r="B58" s="8" t="s">
        <v>224</v>
      </c>
      <c r="C58" s="8" t="s">
        <v>234</v>
      </c>
      <c r="D58" s="8" t="s">
        <v>437</v>
      </c>
      <c r="E58" s="8">
        <v>1</v>
      </c>
    </row>
    <row r="59" spans="1:5" ht="24.75" x14ac:dyDescent="0.25">
      <c r="A59" s="8" t="s">
        <v>338</v>
      </c>
      <c r="B59" s="8" t="s">
        <v>224</v>
      </c>
      <c r="C59" s="8" t="s">
        <v>234</v>
      </c>
      <c r="D59" s="8" t="s">
        <v>438</v>
      </c>
      <c r="E59" s="8">
        <v>1</v>
      </c>
    </row>
    <row r="60" spans="1:5" ht="24.75" x14ac:dyDescent="0.25">
      <c r="A60" s="8" t="s">
        <v>338</v>
      </c>
      <c r="B60" s="8" t="s">
        <v>224</v>
      </c>
      <c r="C60" s="8" t="s">
        <v>234</v>
      </c>
      <c r="D60" s="8" t="s">
        <v>439</v>
      </c>
      <c r="E60" s="8">
        <v>1</v>
      </c>
    </row>
    <row r="61" spans="1:5" ht="24.75" x14ac:dyDescent="0.25">
      <c r="A61" s="8" t="s">
        <v>338</v>
      </c>
      <c r="B61" s="8" t="s">
        <v>224</v>
      </c>
      <c r="C61" s="8" t="s">
        <v>234</v>
      </c>
      <c r="D61" s="8" t="s">
        <v>440</v>
      </c>
      <c r="E61" s="8">
        <v>1</v>
      </c>
    </row>
    <row r="62" spans="1:5" ht="24.75" x14ac:dyDescent="0.25">
      <c r="A62" s="8" t="s">
        <v>338</v>
      </c>
      <c r="B62" s="8" t="s">
        <v>224</v>
      </c>
      <c r="C62" s="8" t="s">
        <v>234</v>
      </c>
      <c r="D62" s="8" t="s">
        <v>441</v>
      </c>
      <c r="E62" s="8">
        <v>1</v>
      </c>
    </row>
    <row r="63" spans="1:5" ht="24.75" x14ac:dyDescent="0.25">
      <c r="A63" s="8" t="s">
        <v>338</v>
      </c>
      <c r="B63" s="8" t="s">
        <v>224</v>
      </c>
      <c r="C63" s="8" t="s">
        <v>234</v>
      </c>
      <c r="D63" s="8" t="s">
        <v>442</v>
      </c>
      <c r="E63" s="8">
        <v>1</v>
      </c>
    </row>
    <row r="64" spans="1:5" ht="24.75" x14ac:dyDescent="0.25">
      <c r="A64" s="8" t="s">
        <v>338</v>
      </c>
      <c r="B64" s="8" t="s">
        <v>224</v>
      </c>
      <c r="C64" s="8" t="s">
        <v>234</v>
      </c>
      <c r="D64" s="8" t="s">
        <v>443</v>
      </c>
      <c r="E64" s="8">
        <v>1</v>
      </c>
    </row>
    <row r="65" spans="1:5" ht="24.75" x14ac:dyDescent="0.25">
      <c r="A65" s="8" t="s">
        <v>338</v>
      </c>
      <c r="B65" s="8" t="s">
        <v>224</v>
      </c>
      <c r="C65" s="8" t="s">
        <v>234</v>
      </c>
      <c r="D65" s="8" t="s">
        <v>444</v>
      </c>
      <c r="E65" s="8">
        <v>1</v>
      </c>
    </row>
    <row r="66" spans="1:5" ht="24.75" x14ac:dyDescent="0.25">
      <c r="A66" s="8" t="s">
        <v>338</v>
      </c>
      <c r="B66" s="8" t="s">
        <v>224</v>
      </c>
      <c r="C66" s="8" t="s">
        <v>234</v>
      </c>
      <c r="D66" s="8" t="s">
        <v>445</v>
      </c>
      <c r="E66" s="8">
        <v>1</v>
      </c>
    </row>
    <row r="67" spans="1:5" ht="24.75" x14ac:dyDescent="0.25">
      <c r="A67" s="8" t="s">
        <v>338</v>
      </c>
      <c r="B67" s="8" t="s">
        <v>224</v>
      </c>
      <c r="C67" s="8" t="s">
        <v>234</v>
      </c>
      <c r="D67" s="8" t="s">
        <v>446</v>
      </c>
      <c r="E67" s="8">
        <v>1</v>
      </c>
    </row>
    <row r="68" spans="1:5" ht="24.75" x14ac:dyDescent="0.25">
      <c r="A68" s="8" t="s">
        <v>338</v>
      </c>
      <c r="B68" s="8" t="s">
        <v>224</v>
      </c>
      <c r="C68" s="8" t="s">
        <v>234</v>
      </c>
      <c r="D68" s="8" t="s">
        <v>447</v>
      </c>
      <c r="E68" s="8">
        <v>1</v>
      </c>
    </row>
    <row r="69" spans="1:5" ht="24.75" x14ac:dyDescent="0.25">
      <c r="A69" s="8" t="s">
        <v>338</v>
      </c>
      <c r="B69" s="8" t="s">
        <v>224</v>
      </c>
      <c r="C69" s="8" t="s">
        <v>234</v>
      </c>
      <c r="D69" s="8" t="s">
        <v>448</v>
      </c>
      <c r="E69" s="8">
        <v>1</v>
      </c>
    </row>
    <row r="70" spans="1:5" ht="24.75" x14ac:dyDescent="0.25">
      <c r="A70" s="8" t="s">
        <v>338</v>
      </c>
      <c r="B70" s="8" t="s">
        <v>224</v>
      </c>
      <c r="C70" s="8" t="s">
        <v>234</v>
      </c>
      <c r="D70" s="8" t="s">
        <v>449</v>
      </c>
      <c r="E70" s="8">
        <v>1</v>
      </c>
    </row>
    <row r="71" spans="1:5" ht="24.75" x14ac:dyDescent="0.25">
      <c r="A71" s="8" t="s">
        <v>338</v>
      </c>
      <c r="B71" s="8" t="s">
        <v>224</v>
      </c>
      <c r="C71" s="8" t="s">
        <v>234</v>
      </c>
      <c r="D71" s="8" t="s">
        <v>450</v>
      </c>
      <c r="E71" s="8">
        <v>1</v>
      </c>
    </row>
    <row r="72" spans="1:5" ht="24.75" x14ac:dyDescent="0.25">
      <c r="A72" s="8" t="s">
        <v>338</v>
      </c>
      <c r="B72" s="8" t="s">
        <v>224</v>
      </c>
      <c r="C72" s="8" t="s">
        <v>234</v>
      </c>
      <c r="D72" s="8" t="s">
        <v>451</v>
      </c>
      <c r="E72" s="8">
        <v>1</v>
      </c>
    </row>
    <row r="73" spans="1:5" ht="24.75" x14ac:dyDescent="0.25">
      <c r="A73" s="8" t="s">
        <v>338</v>
      </c>
      <c r="B73" s="8" t="s">
        <v>224</v>
      </c>
      <c r="C73" s="8" t="s">
        <v>234</v>
      </c>
      <c r="D73" s="8" t="s">
        <v>452</v>
      </c>
      <c r="E73" s="8">
        <v>1</v>
      </c>
    </row>
    <row r="74" spans="1:5" ht="24.75" x14ac:dyDescent="0.25">
      <c r="A74" s="8" t="s">
        <v>338</v>
      </c>
      <c r="B74" s="8" t="s">
        <v>224</v>
      </c>
      <c r="C74" s="8" t="s">
        <v>234</v>
      </c>
      <c r="D74" s="8" t="s">
        <v>453</v>
      </c>
      <c r="E74" s="8">
        <v>1</v>
      </c>
    </row>
    <row r="75" spans="1:5" ht="24.75" x14ac:dyDescent="0.25">
      <c r="A75" s="8" t="s">
        <v>338</v>
      </c>
      <c r="B75" s="8" t="s">
        <v>224</v>
      </c>
      <c r="C75" s="8" t="s">
        <v>234</v>
      </c>
      <c r="D75" s="8" t="s">
        <v>454</v>
      </c>
      <c r="E75" s="8">
        <v>1</v>
      </c>
    </row>
    <row r="76" spans="1:5" ht="24.75" x14ac:dyDescent="0.25">
      <c r="A76" s="8" t="s">
        <v>338</v>
      </c>
      <c r="B76" s="8" t="s">
        <v>224</v>
      </c>
      <c r="C76" s="8" t="s">
        <v>234</v>
      </c>
      <c r="D76" s="8" t="s">
        <v>455</v>
      </c>
      <c r="E76" s="8">
        <v>1</v>
      </c>
    </row>
    <row r="77" spans="1:5" ht="24.75" x14ac:dyDescent="0.25">
      <c r="A77" s="8" t="s">
        <v>338</v>
      </c>
      <c r="B77" s="8" t="s">
        <v>224</v>
      </c>
      <c r="C77" s="8" t="s">
        <v>234</v>
      </c>
      <c r="D77" s="8" t="s">
        <v>456</v>
      </c>
      <c r="E77" s="8">
        <v>1</v>
      </c>
    </row>
    <row r="78" spans="1:5" ht="24.75" x14ac:dyDescent="0.25">
      <c r="A78" s="8" t="s">
        <v>338</v>
      </c>
      <c r="B78" s="8" t="s">
        <v>224</v>
      </c>
      <c r="C78" s="8" t="s">
        <v>234</v>
      </c>
      <c r="D78" s="8" t="s">
        <v>457</v>
      </c>
      <c r="E78" s="8">
        <v>1</v>
      </c>
    </row>
    <row r="79" spans="1:5" ht="24.75" x14ac:dyDescent="0.25">
      <c r="A79" s="8" t="s">
        <v>338</v>
      </c>
      <c r="B79" s="8" t="s">
        <v>224</v>
      </c>
      <c r="C79" s="8" t="s">
        <v>234</v>
      </c>
      <c r="D79" s="8" t="s">
        <v>458</v>
      </c>
      <c r="E79" s="8">
        <v>1</v>
      </c>
    </row>
    <row r="80" spans="1:5" ht="24.75" x14ac:dyDescent="0.25">
      <c r="A80" s="8" t="s">
        <v>338</v>
      </c>
      <c r="B80" s="8" t="s">
        <v>224</v>
      </c>
      <c r="C80" s="8" t="s">
        <v>234</v>
      </c>
      <c r="D80" s="8" t="s">
        <v>459</v>
      </c>
      <c r="E80" s="8">
        <v>1</v>
      </c>
    </row>
    <row r="81" spans="1:5" ht="24.75" x14ac:dyDescent="0.25">
      <c r="A81" s="8" t="s">
        <v>338</v>
      </c>
      <c r="B81" s="8" t="s">
        <v>224</v>
      </c>
      <c r="C81" s="8" t="s">
        <v>234</v>
      </c>
      <c r="D81" s="8" t="s">
        <v>460</v>
      </c>
      <c r="E81" s="8">
        <v>1</v>
      </c>
    </row>
    <row r="82" spans="1:5" ht="24.75" x14ac:dyDescent="0.25">
      <c r="A82" s="8" t="s">
        <v>338</v>
      </c>
      <c r="B82" s="8" t="s">
        <v>224</v>
      </c>
      <c r="C82" s="8" t="s">
        <v>234</v>
      </c>
      <c r="D82" s="8" t="s">
        <v>461</v>
      </c>
      <c r="E82" s="8">
        <v>1</v>
      </c>
    </row>
    <row r="83" spans="1:5" ht="24.75" x14ac:dyDescent="0.25">
      <c r="A83" s="8" t="s">
        <v>338</v>
      </c>
      <c r="B83" s="8" t="s">
        <v>224</v>
      </c>
      <c r="C83" s="8" t="s">
        <v>234</v>
      </c>
      <c r="D83" s="8" t="s">
        <v>462</v>
      </c>
      <c r="E83" s="8">
        <v>1</v>
      </c>
    </row>
    <row r="84" spans="1:5" ht="24.75" x14ac:dyDescent="0.25">
      <c r="A84" s="8" t="s">
        <v>338</v>
      </c>
      <c r="B84" s="8" t="s">
        <v>224</v>
      </c>
      <c r="C84" s="8" t="s">
        <v>234</v>
      </c>
      <c r="D84" s="8" t="s">
        <v>463</v>
      </c>
      <c r="E84" s="8">
        <v>1</v>
      </c>
    </row>
    <row r="85" spans="1:5" ht="24.75" x14ac:dyDescent="0.25">
      <c r="A85" s="8" t="s">
        <v>338</v>
      </c>
      <c r="B85" s="8" t="s">
        <v>224</v>
      </c>
      <c r="C85" s="8" t="s">
        <v>234</v>
      </c>
      <c r="D85" s="8" t="s">
        <v>464</v>
      </c>
      <c r="E85" s="8">
        <v>1</v>
      </c>
    </row>
    <row r="86" spans="1:5" ht="24.75" x14ac:dyDescent="0.25">
      <c r="A86" s="8" t="s">
        <v>338</v>
      </c>
      <c r="B86" s="8" t="s">
        <v>224</v>
      </c>
      <c r="C86" s="8" t="s">
        <v>234</v>
      </c>
      <c r="D86" s="8" t="s">
        <v>465</v>
      </c>
      <c r="E86" s="8">
        <v>1</v>
      </c>
    </row>
    <row r="87" spans="1:5" ht="24.75" x14ac:dyDescent="0.25">
      <c r="A87" s="8" t="s">
        <v>338</v>
      </c>
      <c r="B87" s="8" t="s">
        <v>224</v>
      </c>
      <c r="C87" s="8" t="s">
        <v>234</v>
      </c>
      <c r="D87" s="8" t="s">
        <v>466</v>
      </c>
      <c r="E87" s="8">
        <v>1</v>
      </c>
    </row>
    <row r="88" spans="1:5" ht="24.75" x14ac:dyDescent="0.25">
      <c r="A88" s="8" t="s">
        <v>338</v>
      </c>
      <c r="B88" s="8" t="s">
        <v>224</v>
      </c>
      <c r="C88" s="8" t="s">
        <v>234</v>
      </c>
      <c r="D88" s="8" t="s">
        <v>467</v>
      </c>
      <c r="E88" s="8">
        <v>1</v>
      </c>
    </row>
    <row r="89" spans="1:5" ht="24.75" x14ac:dyDescent="0.25">
      <c r="A89" s="8" t="s">
        <v>338</v>
      </c>
      <c r="B89" s="8" t="s">
        <v>224</v>
      </c>
      <c r="C89" s="8" t="s">
        <v>234</v>
      </c>
      <c r="D89" s="8" t="s">
        <v>468</v>
      </c>
      <c r="E89" s="8">
        <v>1</v>
      </c>
    </row>
    <row r="90" spans="1:5" ht="24.75" x14ac:dyDescent="0.25">
      <c r="A90" s="8" t="s">
        <v>338</v>
      </c>
      <c r="B90" s="8" t="s">
        <v>224</v>
      </c>
      <c r="C90" s="8" t="s">
        <v>234</v>
      </c>
      <c r="D90" s="8" t="s">
        <v>469</v>
      </c>
      <c r="E90" s="8">
        <v>1</v>
      </c>
    </row>
    <row r="91" spans="1:5" ht="24.75" x14ac:dyDescent="0.25">
      <c r="A91" s="8" t="s">
        <v>338</v>
      </c>
      <c r="B91" s="8" t="s">
        <v>224</v>
      </c>
      <c r="C91" s="8" t="s">
        <v>234</v>
      </c>
      <c r="D91" s="8" t="s">
        <v>470</v>
      </c>
      <c r="E91" s="8">
        <v>1</v>
      </c>
    </row>
    <row r="92" spans="1:5" ht="24.75" x14ac:dyDescent="0.25">
      <c r="A92" s="8" t="s">
        <v>338</v>
      </c>
      <c r="B92" s="8" t="s">
        <v>224</v>
      </c>
      <c r="C92" s="8" t="s">
        <v>234</v>
      </c>
      <c r="D92" s="8" t="s">
        <v>471</v>
      </c>
      <c r="E92" s="8">
        <v>1</v>
      </c>
    </row>
    <row r="93" spans="1:5" ht="24.75" x14ac:dyDescent="0.25">
      <c r="A93" s="8" t="s">
        <v>338</v>
      </c>
      <c r="B93" s="8" t="s">
        <v>224</v>
      </c>
      <c r="C93" s="8" t="s">
        <v>234</v>
      </c>
      <c r="D93" s="8" t="s">
        <v>472</v>
      </c>
      <c r="E93" s="8">
        <v>1</v>
      </c>
    </row>
    <row r="94" spans="1:5" ht="24.75" x14ac:dyDescent="0.25">
      <c r="A94" s="8" t="s">
        <v>338</v>
      </c>
      <c r="B94" s="8" t="s">
        <v>224</v>
      </c>
      <c r="C94" s="8" t="s">
        <v>234</v>
      </c>
      <c r="D94" s="8" t="s">
        <v>473</v>
      </c>
      <c r="E94" s="8">
        <v>1</v>
      </c>
    </row>
    <row r="95" spans="1:5" ht="24.75" x14ac:dyDescent="0.25">
      <c r="A95" s="8" t="s">
        <v>338</v>
      </c>
      <c r="B95" s="8" t="s">
        <v>224</v>
      </c>
      <c r="C95" s="8" t="s">
        <v>234</v>
      </c>
      <c r="D95" s="8" t="s">
        <v>474</v>
      </c>
      <c r="E95" s="8">
        <v>1</v>
      </c>
    </row>
    <row r="96" spans="1:5" ht="24.75" x14ac:dyDescent="0.25">
      <c r="A96" s="8" t="s">
        <v>338</v>
      </c>
      <c r="B96" s="8" t="s">
        <v>224</v>
      </c>
      <c r="C96" s="8" t="s">
        <v>234</v>
      </c>
      <c r="D96" s="8" t="s">
        <v>475</v>
      </c>
      <c r="E96" s="8">
        <v>1</v>
      </c>
    </row>
    <row r="97" spans="1:5" ht="24.75" x14ac:dyDescent="0.25">
      <c r="A97" s="8" t="s">
        <v>338</v>
      </c>
      <c r="B97" s="8" t="s">
        <v>224</v>
      </c>
      <c r="C97" s="8" t="s">
        <v>234</v>
      </c>
      <c r="D97" s="8" t="s">
        <v>476</v>
      </c>
      <c r="E97" s="8">
        <v>1</v>
      </c>
    </row>
    <row r="98" spans="1:5" ht="24.75" x14ac:dyDescent="0.25">
      <c r="A98" s="8" t="s">
        <v>338</v>
      </c>
      <c r="B98" s="8" t="s">
        <v>224</v>
      </c>
      <c r="C98" s="8" t="s">
        <v>234</v>
      </c>
      <c r="D98" s="8" t="s">
        <v>477</v>
      </c>
      <c r="E98" s="8">
        <v>1</v>
      </c>
    </row>
    <row r="99" spans="1:5" ht="24.75" x14ac:dyDescent="0.25">
      <c r="A99" s="8" t="s">
        <v>338</v>
      </c>
      <c r="B99" s="8" t="s">
        <v>224</v>
      </c>
      <c r="C99" s="8" t="s">
        <v>234</v>
      </c>
      <c r="D99" s="8" t="s">
        <v>478</v>
      </c>
      <c r="E99" s="8">
        <v>1</v>
      </c>
    </row>
    <row r="100" spans="1:5" ht="24.75" x14ac:dyDescent="0.25">
      <c r="A100" s="8" t="s">
        <v>338</v>
      </c>
      <c r="B100" s="8" t="s">
        <v>224</v>
      </c>
      <c r="C100" s="8" t="s">
        <v>234</v>
      </c>
      <c r="D100" s="8" t="s">
        <v>479</v>
      </c>
      <c r="E100" s="8">
        <v>1</v>
      </c>
    </row>
    <row r="101" spans="1:5" ht="24.75" x14ac:dyDescent="0.25">
      <c r="A101" s="8" t="s">
        <v>338</v>
      </c>
      <c r="B101" s="8" t="s">
        <v>224</v>
      </c>
      <c r="C101" s="8" t="s">
        <v>234</v>
      </c>
      <c r="D101" s="8" t="s">
        <v>480</v>
      </c>
      <c r="E101" s="8">
        <v>1</v>
      </c>
    </row>
    <row r="102" spans="1:5" ht="24.75" x14ac:dyDescent="0.25">
      <c r="A102" s="8" t="s">
        <v>338</v>
      </c>
      <c r="B102" s="8" t="s">
        <v>224</v>
      </c>
      <c r="C102" s="8" t="s">
        <v>234</v>
      </c>
      <c r="D102" s="8" t="s">
        <v>481</v>
      </c>
      <c r="E102" s="8">
        <v>1</v>
      </c>
    </row>
    <row r="103" spans="1:5" ht="24.75" x14ac:dyDescent="0.25">
      <c r="A103" s="8" t="s">
        <v>338</v>
      </c>
      <c r="B103" s="8" t="s">
        <v>224</v>
      </c>
      <c r="C103" s="8" t="s">
        <v>234</v>
      </c>
      <c r="D103" s="8" t="s">
        <v>482</v>
      </c>
      <c r="E103" s="8">
        <v>1</v>
      </c>
    </row>
    <row r="104" spans="1:5" ht="24.75" x14ac:dyDescent="0.25">
      <c r="A104" s="8" t="s">
        <v>338</v>
      </c>
      <c r="B104" s="8" t="s">
        <v>224</v>
      </c>
      <c r="C104" s="8" t="s">
        <v>234</v>
      </c>
      <c r="D104" s="8" t="s">
        <v>483</v>
      </c>
      <c r="E104" s="8">
        <v>1</v>
      </c>
    </row>
    <row r="105" spans="1:5" ht="24.75" x14ac:dyDescent="0.25">
      <c r="A105" s="8" t="s">
        <v>338</v>
      </c>
      <c r="B105" s="8" t="s">
        <v>224</v>
      </c>
      <c r="C105" s="8" t="s">
        <v>234</v>
      </c>
      <c r="D105" s="8" t="s">
        <v>484</v>
      </c>
      <c r="E105" s="8">
        <v>1</v>
      </c>
    </row>
    <row r="106" spans="1:5" ht="24.75" x14ac:dyDescent="0.25">
      <c r="A106" s="8" t="s">
        <v>338</v>
      </c>
      <c r="B106" s="8" t="s">
        <v>224</v>
      </c>
      <c r="C106" s="8" t="s">
        <v>234</v>
      </c>
      <c r="D106" s="8" t="s">
        <v>485</v>
      </c>
      <c r="E106" s="8">
        <v>1</v>
      </c>
    </row>
    <row r="107" spans="1:5" ht="24.75" x14ac:dyDescent="0.25">
      <c r="A107" s="8" t="s">
        <v>338</v>
      </c>
      <c r="B107" s="8" t="s">
        <v>224</v>
      </c>
      <c r="C107" s="8" t="s">
        <v>234</v>
      </c>
      <c r="D107" s="8" t="s">
        <v>486</v>
      </c>
      <c r="E107" s="8">
        <v>1</v>
      </c>
    </row>
    <row r="108" spans="1:5" ht="24.75" x14ac:dyDescent="0.25">
      <c r="A108" s="8" t="s">
        <v>338</v>
      </c>
      <c r="B108" s="8" t="s">
        <v>224</v>
      </c>
      <c r="C108" s="8" t="s">
        <v>234</v>
      </c>
      <c r="D108" s="8" t="s">
        <v>487</v>
      </c>
      <c r="E108" s="8">
        <v>1</v>
      </c>
    </row>
    <row r="109" spans="1:5" ht="24.75" x14ac:dyDescent="0.25">
      <c r="A109" s="8" t="s">
        <v>338</v>
      </c>
      <c r="B109" s="8" t="s">
        <v>224</v>
      </c>
      <c r="C109" s="8" t="s">
        <v>234</v>
      </c>
      <c r="D109" s="8" t="s">
        <v>488</v>
      </c>
      <c r="E109" s="8">
        <v>1</v>
      </c>
    </row>
    <row r="110" spans="1:5" ht="24.75" x14ac:dyDescent="0.25">
      <c r="A110" s="8" t="s">
        <v>338</v>
      </c>
      <c r="B110" s="8" t="s">
        <v>224</v>
      </c>
      <c r="C110" s="8" t="s">
        <v>234</v>
      </c>
      <c r="D110" s="8" t="s">
        <v>489</v>
      </c>
      <c r="E110" s="8">
        <v>1</v>
      </c>
    </row>
    <row r="111" spans="1:5" ht="24.75" x14ac:dyDescent="0.25">
      <c r="A111" s="8" t="s">
        <v>338</v>
      </c>
      <c r="B111" s="8" t="s">
        <v>224</v>
      </c>
      <c r="C111" s="8" t="s">
        <v>234</v>
      </c>
      <c r="D111" s="8" t="s">
        <v>490</v>
      </c>
      <c r="E111" s="8">
        <v>1</v>
      </c>
    </row>
    <row r="112" spans="1:5" ht="24.75" x14ac:dyDescent="0.25">
      <c r="A112" s="8" t="s">
        <v>338</v>
      </c>
      <c r="B112" s="8" t="s">
        <v>224</v>
      </c>
      <c r="C112" s="8" t="s">
        <v>234</v>
      </c>
      <c r="D112" s="8" t="s">
        <v>491</v>
      </c>
      <c r="E112" s="8">
        <v>1</v>
      </c>
    </row>
    <row r="113" spans="1:5" ht="24.75" x14ac:dyDescent="0.25">
      <c r="A113" s="8" t="s">
        <v>338</v>
      </c>
      <c r="B113" s="8" t="s">
        <v>224</v>
      </c>
      <c r="C113" s="8" t="s">
        <v>234</v>
      </c>
      <c r="D113" s="8" t="s">
        <v>492</v>
      </c>
      <c r="E113" s="8">
        <v>1</v>
      </c>
    </row>
    <row r="114" spans="1:5" ht="24.75" x14ac:dyDescent="0.25">
      <c r="A114" s="8" t="s">
        <v>338</v>
      </c>
      <c r="B114" s="8" t="s">
        <v>224</v>
      </c>
      <c r="C114" s="8" t="s">
        <v>234</v>
      </c>
      <c r="D114" s="8" t="s">
        <v>493</v>
      </c>
      <c r="E114" s="8">
        <v>1</v>
      </c>
    </row>
    <row r="115" spans="1:5" ht="24.75" x14ac:dyDescent="0.25">
      <c r="A115" s="8" t="s">
        <v>338</v>
      </c>
      <c r="B115" s="8" t="s">
        <v>224</v>
      </c>
      <c r="C115" s="8" t="s">
        <v>234</v>
      </c>
      <c r="D115" s="8" t="s">
        <v>494</v>
      </c>
      <c r="E115" s="8">
        <v>1</v>
      </c>
    </row>
    <row r="116" spans="1:5" ht="24.75" x14ac:dyDescent="0.25">
      <c r="A116" s="8" t="s">
        <v>338</v>
      </c>
      <c r="B116" s="8" t="s">
        <v>224</v>
      </c>
      <c r="C116" s="8" t="s">
        <v>234</v>
      </c>
      <c r="D116" s="8" t="s">
        <v>495</v>
      </c>
      <c r="E116" s="8">
        <v>1</v>
      </c>
    </row>
    <row r="117" spans="1:5" ht="24.75" x14ac:dyDescent="0.25">
      <c r="A117" s="8" t="s">
        <v>338</v>
      </c>
      <c r="B117" s="8" t="s">
        <v>224</v>
      </c>
      <c r="C117" s="8" t="s">
        <v>234</v>
      </c>
      <c r="D117" s="8" t="s">
        <v>496</v>
      </c>
      <c r="E117" s="8">
        <v>1</v>
      </c>
    </row>
    <row r="118" spans="1:5" ht="24.75" x14ac:dyDescent="0.25">
      <c r="A118" s="8" t="s">
        <v>338</v>
      </c>
      <c r="B118" s="8" t="s">
        <v>224</v>
      </c>
      <c r="C118" s="8" t="s">
        <v>234</v>
      </c>
      <c r="D118" s="8" t="s">
        <v>497</v>
      </c>
      <c r="E118" s="8">
        <v>1</v>
      </c>
    </row>
    <row r="119" spans="1:5" ht="24.75" x14ac:dyDescent="0.25">
      <c r="A119" s="8" t="s">
        <v>338</v>
      </c>
      <c r="B119" s="8" t="s">
        <v>224</v>
      </c>
      <c r="C119" s="8" t="s">
        <v>234</v>
      </c>
      <c r="D119" s="8" t="s">
        <v>498</v>
      </c>
      <c r="E119" s="8">
        <v>1</v>
      </c>
    </row>
    <row r="120" spans="1:5" ht="24.75" x14ac:dyDescent="0.25">
      <c r="A120" s="8" t="s">
        <v>338</v>
      </c>
      <c r="B120" s="8" t="s">
        <v>224</v>
      </c>
      <c r="C120" s="8" t="s">
        <v>234</v>
      </c>
      <c r="D120" s="8" t="s">
        <v>499</v>
      </c>
      <c r="E120" s="8">
        <v>1</v>
      </c>
    </row>
    <row r="121" spans="1:5" ht="24.75" x14ac:dyDescent="0.25">
      <c r="A121" s="8" t="s">
        <v>338</v>
      </c>
      <c r="B121" s="8" t="s">
        <v>224</v>
      </c>
      <c r="C121" s="8" t="s">
        <v>234</v>
      </c>
      <c r="D121" s="8" t="s">
        <v>500</v>
      </c>
      <c r="E121" s="8">
        <v>1</v>
      </c>
    </row>
    <row r="122" spans="1:5" ht="24.75" x14ac:dyDescent="0.25">
      <c r="A122" s="8" t="s">
        <v>338</v>
      </c>
      <c r="B122" s="8" t="s">
        <v>224</v>
      </c>
      <c r="C122" s="8" t="s">
        <v>234</v>
      </c>
      <c r="D122" s="8" t="s">
        <v>501</v>
      </c>
      <c r="E122" s="8">
        <v>1</v>
      </c>
    </row>
    <row r="123" spans="1:5" ht="24.75" x14ac:dyDescent="0.25">
      <c r="A123" s="8" t="s">
        <v>338</v>
      </c>
      <c r="B123" s="8" t="s">
        <v>224</v>
      </c>
      <c r="C123" s="8" t="s">
        <v>234</v>
      </c>
      <c r="D123" s="8" t="s">
        <v>502</v>
      </c>
      <c r="E123" s="8">
        <v>1</v>
      </c>
    </row>
    <row r="124" spans="1:5" ht="24.75" x14ac:dyDescent="0.25">
      <c r="A124" s="8" t="s">
        <v>338</v>
      </c>
      <c r="B124" s="8" t="s">
        <v>224</v>
      </c>
      <c r="C124" s="8" t="s">
        <v>234</v>
      </c>
      <c r="D124" s="8" t="s">
        <v>503</v>
      </c>
      <c r="E124" s="8">
        <v>1</v>
      </c>
    </row>
    <row r="125" spans="1:5" ht="24.75" x14ac:dyDescent="0.25">
      <c r="A125" s="8" t="s">
        <v>338</v>
      </c>
      <c r="B125" s="8" t="s">
        <v>224</v>
      </c>
      <c r="C125" s="8" t="s">
        <v>234</v>
      </c>
      <c r="D125" s="8" t="s">
        <v>504</v>
      </c>
      <c r="E125" s="8">
        <v>1</v>
      </c>
    </row>
    <row r="126" spans="1:5" ht="24.75" x14ac:dyDescent="0.25">
      <c r="A126" s="8" t="s">
        <v>338</v>
      </c>
      <c r="B126" s="8" t="s">
        <v>224</v>
      </c>
      <c r="C126" s="8" t="s">
        <v>234</v>
      </c>
      <c r="D126" s="8" t="s">
        <v>505</v>
      </c>
      <c r="E126" s="8">
        <v>1</v>
      </c>
    </row>
    <row r="127" spans="1:5" ht="24.75" x14ac:dyDescent="0.25">
      <c r="A127" s="8" t="s">
        <v>338</v>
      </c>
      <c r="B127" s="8" t="s">
        <v>224</v>
      </c>
      <c r="C127" s="8" t="s">
        <v>234</v>
      </c>
      <c r="D127" s="8" t="s">
        <v>506</v>
      </c>
      <c r="E127" s="8">
        <v>1</v>
      </c>
    </row>
    <row r="128" spans="1:5" ht="24.75" x14ac:dyDescent="0.25">
      <c r="A128" s="8" t="s">
        <v>338</v>
      </c>
      <c r="B128" s="8" t="s">
        <v>224</v>
      </c>
      <c r="C128" s="8" t="s">
        <v>234</v>
      </c>
      <c r="D128" s="8" t="s">
        <v>507</v>
      </c>
      <c r="E128" s="8">
        <v>1</v>
      </c>
    </row>
    <row r="129" spans="1:5" ht="24.75" x14ac:dyDescent="0.25">
      <c r="A129" s="8" t="s">
        <v>338</v>
      </c>
      <c r="B129" s="8" t="s">
        <v>224</v>
      </c>
      <c r="C129" s="8" t="s">
        <v>234</v>
      </c>
      <c r="D129" s="8" t="s">
        <v>508</v>
      </c>
      <c r="E129" s="8">
        <v>1</v>
      </c>
    </row>
    <row r="130" spans="1:5" ht="24.75" x14ac:dyDescent="0.25">
      <c r="A130" s="8" t="s">
        <v>338</v>
      </c>
      <c r="B130" s="8" t="s">
        <v>224</v>
      </c>
      <c r="C130" s="8" t="s">
        <v>234</v>
      </c>
      <c r="D130" s="8" t="s">
        <v>509</v>
      </c>
      <c r="E130" s="8">
        <v>1</v>
      </c>
    </row>
    <row r="131" spans="1:5" ht="24.75" x14ac:dyDescent="0.25">
      <c r="A131" s="8" t="s">
        <v>338</v>
      </c>
      <c r="B131" s="8" t="s">
        <v>224</v>
      </c>
      <c r="C131" s="8" t="s">
        <v>234</v>
      </c>
      <c r="D131" s="8" t="s">
        <v>510</v>
      </c>
      <c r="E131" s="8">
        <v>1</v>
      </c>
    </row>
    <row r="132" spans="1:5" ht="24.75" x14ac:dyDescent="0.25">
      <c r="A132" s="8" t="s">
        <v>338</v>
      </c>
      <c r="B132" s="8" t="s">
        <v>224</v>
      </c>
      <c r="C132" s="8" t="s">
        <v>234</v>
      </c>
      <c r="D132" s="8" t="s">
        <v>511</v>
      </c>
      <c r="E132" s="8">
        <v>1</v>
      </c>
    </row>
    <row r="133" spans="1:5" ht="24.75" x14ac:dyDescent="0.25">
      <c r="A133" s="8" t="s">
        <v>338</v>
      </c>
      <c r="B133" s="8" t="s">
        <v>224</v>
      </c>
      <c r="C133" s="8" t="s">
        <v>234</v>
      </c>
      <c r="D133" s="8" t="s">
        <v>512</v>
      </c>
      <c r="E133" s="8">
        <v>1</v>
      </c>
    </row>
    <row r="134" spans="1:5" ht="24.75" x14ac:dyDescent="0.25">
      <c r="A134" s="8" t="s">
        <v>338</v>
      </c>
      <c r="B134" s="8" t="s">
        <v>224</v>
      </c>
      <c r="C134" s="8" t="s">
        <v>234</v>
      </c>
      <c r="D134" s="8" t="s">
        <v>513</v>
      </c>
      <c r="E134" s="8">
        <v>1</v>
      </c>
    </row>
    <row r="135" spans="1:5" ht="24.75" x14ac:dyDescent="0.25">
      <c r="A135" s="8" t="s">
        <v>338</v>
      </c>
      <c r="B135" s="8" t="s">
        <v>224</v>
      </c>
      <c r="C135" s="8" t="s">
        <v>234</v>
      </c>
      <c r="D135" s="8" t="s">
        <v>514</v>
      </c>
      <c r="E135" s="8">
        <v>1</v>
      </c>
    </row>
    <row r="136" spans="1:5" ht="24.75" x14ac:dyDescent="0.25">
      <c r="A136" s="8" t="s">
        <v>338</v>
      </c>
      <c r="B136" s="8" t="s">
        <v>224</v>
      </c>
      <c r="C136" s="8" t="s">
        <v>234</v>
      </c>
      <c r="D136" s="8" t="s">
        <v>515</v>
      </c>
      <c r="E136" s="8">
        <v>1</v>
      </c>
    </row>
    <row r="137" spans="1:5" ht="24.75" x14ac:dyDescent="0.25">
      <c r="A137" s="8" t="s">
        <v>338</v>
      </c>
      <c r="B137" s="8" t="s">
        <v>224</v>
      </c>
      <c r="C137" s="8" t="s">
        <v>234</v>
      </c>
      <c r="D137" s="8" t="s">
        <v>516</v>
      </c>
      <c r="E137" s="8">
        <v>1</v>
      </c>
    </row>
    <row r="138" spans="1:5" ht="24.75" x14ac:dyDescent="0.25">
      <c r="A138" s="8" t="s">
        <v>338</v>
      </c>
      <c r="B138" s="8" t="s">
        <v>224</v>
      </c>
      <c r="C138" s="8" t="s">
        <v>234</v>
      </c>
      <c r="D138" s="8" t="s">
        <v>517</v>
      </c>
      <c r="E138" s="8">
        <v>1</v>
      </c>
    </row>
    <row r="139" spans="1:5" ht="24.75" x14ac:dyDescent="0.25">
      <c r="A139" s="8" t="s">
        <v>338</v>
      </c>
      <c r="B139" s="8" t="s">
        <v>224</v>
      </c>
      <c r="C139" s="8" t="s">
        <v>234</v>
      </c>
      <c r="D139" s="8" t="s">
        <v>518</v>
      </c>
      <c r="E139" s="8">
        <v>1</v>
      </c>
    </row>
    <row r="140" spans="1:5" ht="24.75" x14ac:dyDescent="0.25">
      <c r="A140" s="8" t="s">
        <v>338</v>
      </c>
      <c r="B140" s="8" t="s">
        <v>224</v>
      </c>
      <c r="C140" s="8" t="s">
        <v>234</v>
      </c>
      <c r="D140" s="8" t="s">
        <v>519</v>
      </c>
      <c r="E140" s="8">
        <v>1</v>
      </c>
    </row>
    <row r="141" spans="1:5" ht="24.75" x14ac:dyDescent="0.25">
      <c r="A141" s="8" t="s">
        <v>338</v>
      </c>
      <c r="B141" s="8" t="s">
        <v>224</v>
      </c>
      <c r="C141" s="8" t="s">
        <v>234</v>
      </c>
      <c r="D141" s="8" t="s">
        <v>520</v>
      </c>
      <c r="E141" s="8">
        <v>1</v>
      </c>
    </row>
    <row r="142" spans="1:5" ht="24.75" x14ac:dyDescent="0.25">
      <c r="A142" s="8" t="s">
        <v>338</v>
      </c>
      <c r="B142" s="8" t="s">
        <v>224</v>
      </c>
      <c r="C142" s="8" t="s">
        <v>234</v>
      </c>
      <c r="D142" s="8" t="s">
        <v>521</v>
      </c>
      <c r="E142" s="8">
        <v>1</v>
      </c>
    </row>
    <row r="143" spans="1:5" ht="24.75" x14ac:dyDescent="0.25">
      <c r="A143" s="8" t="s">
        <v>338</v>
      </c>
      <c r="B143" s="8" t="s">
        <v>224</v>
      </c>
      <c r="C143" s="8" t="s">
        <v>234</v>
      </c>
      <c r="D143" s="8" t="s">
        <v>522</v>
      </c>
      <c r="E143" s="8">
        <v>1</v>
      </c>
    </row>
    <row r="144" spans="1:5" ht="24.75" x14ac:dyDescent="0.25">
      <c r="A144" s="8" t="s">
        <v>338</v>
      </c>
      <c r="B144" s="8" t="s">
        <v>224</v>
      </c>
      <c r="C144" s="8" t="s">
        <v>234</v>
      </c>
      <c r="D144" s="8" t="s">
        <v>523</v>
      </c>
      <c r="E144" s="8">
        <v>1</v>
      </c>
    </row>
    <row r="145" spans="1:5" ht="24.75" x14ac:dyDescent="0.25">
      <c r="A145" s="8" t="s">
        <v>338</v>
      </c>
      <c r="B145" s="8" t="s">
        <v>224</v>
      </c>
      <c r="C145" s="8" t="s">
        <v>234</v>
      </c>
      <c r="D145" s="8" t="s">
        <v>524</v>
      </c>
      <c r="E145" s="8">
        <v>1</v>
      </c>
    </row>
    <row r="146" spans="1:5" ht="24.75" x14ac:dyDescent="0.25">
      <c r="A146" s="8" t="s">
        <v>338</v>
      </c>
      <c r="B146" s="8" t="s">
        <v>224</v>
      </c>
      <c r="C146" s="8" t="s">
        <v>234</v>
      </c>
      <c r="D146" s="8" t="s">
        <v>525</v>
      </c>
      <c r="E146" s="8">
        <v>1</v>
      </c>
    </row>
    <row r="147" spans="1:5" ht="24.75" x14ac:dyDescent="0.25">
      <c r="A147" s="8" t="s">
        <v>338</v>
      </c>
      <c r="B147" s="8" t="s">
        <v>224</v>
      </c>
      <c r="C147" s="8" t="s">
        <v>234</v>
      </c>
      <c r="D147" s="8" t="s">
        <v>526</v>
      </c>
      <c r="E147" s="8">
        <v>1</v>
      </c>
    </row>
    <row r="148" spans="1:5" ht="24.75" x14ac:dyDescent="0.25">
      <c r="A148" s="8" t="s">
        <v>338</v>
      </c>
      <c r="B148" s="8" t="s">
        <v>224</v>
      </c>
      <c r="C148" s="8" t="s">
        <v>234</v>
      </c>
      <c r="D148" s="8" t="s">
        <v>527</v>
      </c>
      <c r="E148" s="8">
        <v>1</v>
      </c>
    </row>
    <row r="149" spans="1:5" ht="24.75" x14ac:dyDescent="0.25">
      <c r="A149" s="8" t="s">
        <v>338</v>
      </c>
      <c r="B149" s="8" t="s">
        <v>224</v>
      </c>
      <c r="C149" s="8" t="s">
        <v>234</v>
      </c>
      <c r="D149" s="8" t="s">
        <v>528</v>
      </c>
      <c r="E149" s="8">
        <v>1</v>
      </c>
    </row>
    <row r="150" spans="1:5" ht="24.75" x14ac:dyDescent="0.25">
      <c r="A150" s="8" t="s">
        <v>338</v>
      </c>
      <c r="B150" s="8" t="s">
        <v>224</v>
      </c>
      <c r="C150" s="8" t="s">
        <v>234</v>
      </c>
      <c r="D150" s="8" t="s">
        <v>529</v>
      </c>
      <c r="E150" s="8">
        <v>1</v>
      </c>
    </row>
    <row r="151" spans="1:5" ht="24.75" x14ac:dyDescent="0.25">
      <c r="A151" s="8" t="s">
        <v>338</v>
      </c>
      <c r="B151" s="8" t="s">
        <v>224</v>
      </c>
      <c r="C151" s="8" t="s">
        <v>234</v>
      </c>
      <c r="D151" s="8" t="s">
        <v>530</v>
      </c>
      <c r="E151" s="8">
        <v>1</v>
      </c>
    </row>
    <row r="152" spans="1:5" ht="24.75" x14ac:dyDescent="0.25">
      <c r="A152" s="8" t="s">
        <v>338</v>
      </c>
      <c r="B152" s="8" t="s">
        <v>224</v>
      </c>
      <c r="C152" s="8" t="s">
        <v>234</v>
      </c>
      <c r="D152" s="8" t="s">
        <v>531</v>
      </c>
      <c r="E152" s="8">
        <v>1</v>
      </c>
    </row>
    <row r="153" spans="1:5" ht="24.75" x14ac:dyDescent="0.25">
      <c r="A153" s="8" t="s">
        <v>338</v>
      </c>
      <c r="B153" s="8" t="s">
        <v>224</v>
      </c>
      <c r="C153" s="8" t="s">
        <v>234</v>
      </c>
      <c r="D153" s="8" t="s">
        <v>532</v>
      </c>
      <c r="E153" s="8">
        <v>1</v>
      </c>
    </row>
    <row r="154" spans="1:5" ht="24.75" x14ac:dyDescent="0.25">
      <c r="A154" s="8" t="s">
        <v>338</v>
      </c>
      <c r="B154" s="8" t="s">
        <v>224</v>
      </c>
      <c r="C154" s="8" t="s">
        <v>234</v>
      </c>
      <c r="D154" s="8" t="s">
        <v>533</v>
      </c>
      <c r="E154" s="8">
        <v>1</v>
      </c>
    </row>
    <row r="155" spans="1:5" ht="24.75" x14ac:dyDescent="0.25">
      <c r="A155" s="8" t="s">
        <v>338</v>
      </c>
      <c r="B155" s="8" t="s">
        <v>224</v>
      </c>
      <c r="C155" s="8" t="s">
        <v>234</v>
      </c>
      <c r="D155" s="8" t="s">
        <v>534</v>
      </c>
      <c r="E155" s="8">
        <v>1</v>
      </c>
    </row>
    <row r="156" spans="1:5" ht="24.75" x14ac:dyDescent="0.25">
      <c r="A156" s="8" t="s">
        <v>338</v>
      </c>
      <c r="B156" s="8" t="s">
        <v>224</v>
      </c>
      <c r="C156" s="8" t="s">
        <v>234</v>
      </c>
      <c r="D156" s="8" t="s">
        <v>535</v>
      </c>
      <c r="E156" s="8">
        <v>1</v>
      </c>
    </row>
    <row r="157" spans="1:5" ht="24.75" x14ac:dyDescent="0.25">
      <c r="A157" s="8" t="s">
        <v>338</v>
      </c>
      <c r="B157" s="8" t="s">
        <v>224</v>
      </c>
      <c r="C157" s="8" t="s">
        <v>234</v>
      </c>
      <c r="D157" s="8" t="s">
        <v>536</v>
      </c>
      <c r="E157" s="8">
        <v>1</v>
      </c>
    </row>
    <row r="158" spans="1:5" ht="24.75" x14ac:dyDescent="0.25">
      <c r="A158" s="8" t="s">
        <v>338</v>
      </c>
      <c r="B158" s="8" t="s">
        <v>224</v>
      </c>
      <c r="C158" s="8" t="s">
        <v>234</v>
      </c>
      <c r="D158" s="8" t="s">
        <v>537</v>
      </c>
      <c r="E158" s="8">
        <v>1</v>
      </c>
    </row>
    <row r="159" spans="1:5" ht="24.75" x14ac:dyDescent="0.25">
      <c r="A159" s="8" t="s">
        <v>338</v>
      </c>
      <c r="B159" s="8" t="s">
        <v>224</v>
      </c>
      <c r="C159" s="8" t="s">
        <v>234</v>
      </c>
      <c r="D159" s="8" t="s">
        <v>538</v>
      </c>
      <c r="E159" s="8">
        <v>1</v>
      </c>
    </row>
    <row r="160" spans="1:5" ht="24.75" x14ac:dyDescent="0.25">
      <c r="A160" s="8" t="s">
        <v>338</v>
      </c>
      <c r="B160" s="8" t="s">
        <v>224</v>
      </c>
      <c r="C160" s="8" t="s">
        <v>234</v>
      </c>
      <c r="D160" s="8" t="s">
        <v>539</v>
      </c>
      <c r="E160" s="8">
        <v>1</v>
      </c>
    </row>
    <row r="161" spans="1:5" ht="24.75" x14ac:dyDescent="0.25">
      <c r="A161" s="8" t="s">
        <v>338</v>
      </c>
      <c r="B161" s="8" t="s">
        <v>224</v>
      </c>
      <c r="C161" s="8" t="s">
        <v>234</v>
      </c>
      <c r="D161" s="8" t="s">
        <v>540</v>
      </c>
      <c r="E161" s="8">
        <v>1</v>
      </c>
    </row>
    <row r="162" spans="1:5" ht="24.75" x14ac:dyDescent="0.25">
      <c r="A162" s="8" t="s">
        <v>338</v>
      </c>
      <c r="B162" s="8" t="s">
        <v>224</v>
      </c>
      <c r="C162" s="8" t="s">
        <v>234</v>
      </c>
      <c r="D162" s="8" t="s">
        <v>541</v>
      </c>
      <c r="E162" s="8">
        <v>1</v>
      </c>
    </row>
    <row r="163" spans="1:5" ht="24.75" x14ac:dyDescent="0.25">
      <c r="A163" s="8" t="s">
        <v>338</v>
      </c>
      <c r="B163" s="8" t="s">
        <v>224</v>
      </c>
      <c r="C163" s="8" t="s">
        <v>234</v>
      </c>
      <c r="D163" s="8" t="s">
        <v>542</v>
      </c>
      <c r="E163" s="8">
        <v>1</v>
      </c>
    </row>
    <row r="164" spans="1:5" ht="24.75" x14ac:dyDescent="0.25">
      <c r="A164" s="8" t="s">
        <v>338</v>
      </c>
      <c r="B164" s="8" t="s">
        <v>224</v>
      </c>
      <c r="C164" s="8" t="s">
        <v>234</v>
      </c>
      <c r="D164" s="8" t="s">
        <v>543</v>
      </c>
      <c r="E164" s="8">
        <v>1</v>
      </c>
    </row>
    <row r="165" spans="1:5" ht="24.75" x14ac:dyDescent="0.25">
      <c r="A165" s="8" t="s">
        <v>338</v>
      </c>
      <c r="B165" s="8" t="s">
        <v>224</v>
      </c>
      <c r="C165" s="8" t="s">
        <v>234</v>
      </c>
      <c r="D165" s="8" t="s">
        <v>544</v>
      </c>
      <c r="E165" s="8">
        <v>1</v>
      </c>
    </row>
    <row r="166" spans="1:5" ht="24.75" x14ac:dyDescent="0.25">
      <c r="A166" s="8" t="s">
        <v>338</v>
      </c>
      <c r="B166" s="8" t="s">
        <v>224</v>
      </c>
      <c r="C166" s="8" t="s">
        <v>234</v>
      </c>
      <c r="D166" s="8" t="s">
        <v>545</v>
      </c>
      <c r="E166" s="8">
        <v>1</v>
      </c>
    </row>
    <row r="167" spans="1:5" ht="24.75" x14ac:dyDescent="0.25">
      <c r="A167" s="8" t="s">
        <v>338</v>
      </c>
      <c r="B167" s="8" t="s">
        <v>224</v>
      </c>
      <c r="C167" s="8" t="s">
        <v>234</v>
      </c>
      <c r="D167" s="8" t="s">
        <v>546</v>
      </c>
      <c r="E167" s="8">
        <v>1</v>
      </c>
    </row>
    <row r="168" spans="1:5" ht="24.75" x14ac:dyDescent="0.25">
      <c r="A168" s="8" t="s">
        <v>338</v>
      </c>
      <c r="B168" s="8" t="s">
        <v>224</v>
      </c>
      <c r="C168" s="8" t="s">
        <v>234</v>
      </c>
      <c r="D168" s="8" t="s">
        <v>547</v>
      </c>
      <c r="E168" s="8">
        <v>1</v>
      </c>
    </row>
    <row r="169" spans="1:5" ht="24.75" x14ac:dyDescent="0.25">
      <c r="A169" s="8" t="s">
        <v>338</v>
      </c>
      <c r="B169" s="8" t="s">
        <v>224</v>
      </c>
      <c r="C169" s="8" t="s">
        <v>234</v>
      </c>
      <c r="D169" s="8" t="s">
        <v>548</v>
      </c>
      <c r="E169" s="8">
        <v>1</v>
      </c>
    </row>
    <row r="170" spans="1:5" ht="24.75" x14ac:dyDescent="0.25">
      <c r="A170" s="8" t="s">
        <v>338</v>
      </c>
      <c r="B170" s="8" t="s">
        <v>224</v>
      </c>
      <c r="C170" s="8" t="s">
        <v>234</v>
      </c>
      <c r="D170" s="8" t="s">
        <v>549</v>
      </c>
      <c r="E170" s="8">
        <v>1</v>
      </c>
    </row>
    <row r="171" spans="1:5" ht="24.75" x14ac:dyDescent="0.25">
      <c r="A171" s="8" t="s">
        <v>338</v>
      </c>
      <c r="B171" s="8" t="s">
        <v>224</v>
      </c>
      <c r="C171" s="8" t="s">
        <v>234</v>
      </c>
      <c r="D171" s="8" t="s">
        <v>550</v>
      </c>
      <c r="E171" s="8">
        <v>1</v>
      </c>
    </row>
    <row r="172" spans="1:5" ht="24.75" x14ac:dyDescent="0.25">
      <c r="A172" s="8" t="s">
        <v>338</v>
      </c>
      <c r="B172" s="8" t="s">
        <v>224</v>
      </c>
      <c r="C172" s="8" t="s">
        <v>234</v>
      </c>
      <c r="D172" s="8" t="s">
        <v>551</v>
      </c>
      <c r="E172" s="8">
        <v>1</v>
      </c>
    </row>
    <row r="173" spans="1:5" ht="24.75" x14ac:dyDescent="0.25">
      <c r="A173" s="8" t="s">
        <v>338</v>
      </c>
      <c r="B173" s="8" t="s">
        <v>224</v>
      </c>
      <c r="C173" s="8" t="s">
        <v>234</v>
      </c>
      <c r="D173" s="8" t="s">
        <v>552</v>
      </c>
      <c r="E173" s="8">
        <v>1</v>
      </c>
    </row>
    <row r="174" spans="1:5" ht="24.75" x14ac:dyDescent="0.25">
      <c r="A174" s="8" t="s">
        <v>338</v>
      </c>
      <c r="B174" s="8" t="s">
        <v>224</v>
      </c>
      <c r="C174" s="8" t="s">
        <v>234</v>
      </c>
      <c r="D174" s="8" t="s">
        <v>553</v>
      </c>
      <c r="E174" s="8">
        <v>1</v>
      </c>
    </row>
    <row r="175" spans="1:5" ht="24.75" x14ac:dyDescent="0.25">
      <c r="A175" s="8" t="s">
        <v>338</v>
      </c>
      <c r="B175" s="8" t="s">
        <v>224</v>
      </c>
      <c r="C175" s="8" t="s">
        <v>234</v>
      </c>
      <c r="D175" s="8" t="s">
        <v>554</v>
      </c>
      <c r="E175" s="8">
        <v>1</v>
      </c>
    </row>
    <row r="176" spans="1:5" ht="24.75" x14ac:dyDescent="0.25">
      <c r="A176" s="8" t="s">
        <v>338</v>
      </c>
      <c r="B176" s="8" t="s">
        <v>224</v>
      </c>
      <c r="C176" s="8" t="s">
        <v>234</v>
      </c>
      <c r="D176" s="8" t="s">
        <v>555</v>
      </c>
      <c r="E176" s="8">
        <v>1</v>
      </c>
    </row>
    <row r="177" spans="1:5" ht="24.75" x14ac:dyDescent="0.25">
      <c r="A177" s="8" t="s">
        <v>338</v>
      </c>
      <c r="B177" s="8" t="s">
        <v>224</v>
      </c>
      <c r="C177" s="8" t="s">
        <v>234</v>
      </c>
      <c r="D177" s="8" t="s">
        <v>556</v>
      </c>
      <c r="E177" s="8">
        <v>1</v>
      </c>
    </row>
    <row r="178" spans="1:5" ht="24.75" x14ac:dyDescent="0.25">
      <c r="A178" s="8" t="s">
        <v>338</v>
      </c>
      <c r="B178" s="8" t="s">
        <v>224</v>
      </c>
      <c r="C178" s="8" t="s">
        <v>234</v>
      </c>
      <c r="D178" s="8" t="s">
        <v>557</v>
      </c>
      <c r="E178" s="8">
        <v>1</v>
      </c>
    </row>
    <row r="179" spans="1:5" ht="24.75" x14ac:dyDescent="0.25">
      <c r="A179" s="8" t="s">
        <v>338</v>
      </c>
      <c r="B179" s="8" t="s">
        <v>224</v>
      </c>
      <c r="C179" s="8" t="s">
        <v>234</v>
      </c>
      <c r="D179" s="8" t="s">
        <v>558</v>
      </c>
      <c r="E179" s="8">
        <v>1</v>
      </c>
    </row>
    <row r="180" spans="1:5" ht="24.75" x14ac:dyDescent="0.25">
      <c r="A180" s="8" t="s">
        <v>338</v>
      </c>
      <c r="B180" s="8" t="s">
        <v>224</v>
      </c>
      <c r="C180" s="8" t="s">
        <v>234</v>
      </c>
      <c r="D180" s="8" t="s">
        <v>559</v>
      </c>
      <c r="E180" s="8">
        <v>1</v>
      </c>
    </row>
    <row r="181" spans="1:5" ht="24.75" x14ac:dyDescent="0.25">
      <c r="A181" s="8" t="s">
        <v>338</v>
      </c>
      <c r="B181" s="8" t="s">
        <v>224</v>
      </c>
      <c r="C181" s="8" t="s">
        <v>234</v>
      </c>
      <c r="D181" s="8" t="s">
        <v>560</v>
      </c>
      <c r="E181" s="8">
        <v>1</v>
      </c>
    </row>
    <row r="182" spans="1:5" ht="24.75" x14ac:dyDescent="0.25">
      <c r="A182" s="8" t="s">
        <v>338</v>
      </c>
      <c r="B182" s="8" t="s">
        <v>224</v>
      </c>
      <c r="C182" s="8" t="s">
        <v>234</v>
      </c>
      <c r="D182" s="8" t="s">
        <v>561</v>
      </c>
      <c r="E182" s="8">
        <v>1</v>
      </c>
    </row>
    <row r="183" spans="1:5" ht="24.75" x14ac:dyDescent="0.25">
      <c r="A183" s="8" t="s">
        <v>338</v>
      </c>
      <c r="B183" s="8" t="s">
        <v>224</v>
      </c>
      <c r="C183" s="8" t="s">
        <v>234</v>
      </c>
      <c r="D183" s="8" t="s">
        <v>562</v>
      </c>
      <c r="E183" s="8">
        <v>1</v>
      </c>
    </row>
    <row r="184" spans="1:5" ht="24.75" x14ac:dyDescent="0.25">
      <c r="A184" s="8" t="s">
        <v>338</v>
      </c>
      <c r="B184" s="8" t="s">
        <v>224</v>
      </c>
      <c r="C184" s="8" t="s">
        <v>234</v>
      </c>
      <c r="D184" s="8" t="s">
        <v>563</v>
      </c>
      <c r="E184" s="8">
        <v>1</v>
      </c>
    </row>
    <row r="185" spans="1:5" ht="24.75" x14ac:dyDescent="0.25">
      <c r="A185" s="8" t="s">
        <v>338</v>
      </c>
      <c r="B185" s="8" t="s">
        <v>224</v>
      </c>
      <c r="C185" s="8" t="s">
        <v>234</v>
      </c>
      <c r="D185" s="8" t="s">
        <v>564</v>
      </c>
      <c r="E185" s="8">
        <v>1</v>
      </c>
    </row>
    <row r="186" spans="1:5" ht="24.75" x14ac:dyDescent="0.25">
      <c r="A186" s="8" t="s">
        <v>338</v>
      </c>
      <c r="B186" s="8" t="s">
        <v>224</v>
      </c>
      <c r="C186" s="8" t="s">
        <v>234</v>
      </c>
      <c r="D186" s="8" t="s">
        <v>565</v>
      </c>
      <c r="E186" s="8">
        <v>1</v>
      </c>
    </row>
    <row r="187" spans="1:5" ht="24.75" x14ac:dyDescent="0.25">
      <c r="A187" s="8" t="s">
        <v>338</v>
      </c>
      <c r="B187" s="8" t="s">
        <v>224</v>
      </c>
      <c r="C187" s="8" t="s">
        <v>234</v>
      </c>
      <c r="D187" s="8" t="s">
        <v>566</v>
      </c>
      <c r="E187" s="8">
        <v>1</v>
      </c>
    </row>
    <row r="188" spans="1:5" ht="24.75" x14ac:dyDescent="0.25">
      <c r="A188" s="8" t="s">
        <v>338</v>
      </c>
      <c r="B188" s="8" t="s">
        <v>224</v>
      </c>
      <c r="C188" s="8" t="s">
        <v>234</v>
      </c>
      <c r="D188" s="8" t="s">
        <v>567</v>
      </c>
      <c r="E188" s="8">
        <v>1</v>
      </c>
    </row>
    <row r="189" spans="1:5" ht="24.75" x14ac:dyDescent="0.25">
      <c r="A189" s="8" t="s">
        <v>338</v>
      </c>
      <c r="B189" s="8" t="s">
        <v>224</v>
      </c>
      <c r="C189" s="8" t="s">
        <v>234</v>
      </c>
      <c r="D189" s="8" t="s">
        <v>568</v>
      </c>
      <c r="E189" s="8">
        <v>1</v>
      </c>
    </row>
    <row r="190" spans="1:5" ht="24.75" x14ac:dyDescent="0.25">
      <c r="A190" s="8" t="s">
        <v>338</v>
      </c>
      <c r="B190" s="8" t="s">
        <v>224</v>
      </c>
      <c r="C190" s="8" t="s">
        <v>234</v>
      </c>
      <c r="D190" s="8" t="s">
        <v>569</v>
      </c>
      <c r="E190" s="8">
        <v>1</v>
      </c>
    </row>
    <row r="191" spans="1:5" ht="24.75" x14ac:dyDescent="0.25">
      <c r="A191" s="8" t="s">
        <v>338</v>
      </c>
      <c r="B191" s="8" t="s">
        <v>224</v>
      </c>
      <c r="C191" s="8" t="s">
        <v>234</v>
      </c>
      <c r="D191" s="8" t="s">
        <v>570</v>
      </c>
      <c r="E191" s="8">
        <v>1</v>
      </c>
    </row>
    <row r="192" spans="1:5" ht="24.75" x14ac:dyDescent="0.25">
      <c r="A192" s="8" t="s">
        <v>338</v>
      </c>
      <c r="B192" s="8" t="s">
        <v>224</v>
      </c>
      <c r="C192" s="8" t="s">
        <v>234</v>
      </c>
      <c r="D192" s="8" t="s">
        <v>571</v>
      </c>
      <c r="E192" s="8">
        <v>1</v>
      </c>
    </row>
    <row r="193" spans="1:5" ht="24.75" x14ac:dyDescent="0.25">
      <c r="A193" s="8" t="s">
        <v>338</v>
      </c>
      <c r="B193" s="8" t="s">
        <v>224</v>
      </c>
      <c r="C193" s="8" t="s">
        <v>234</v>
      </c>
      <c r="D193" s="8" t="s">
        <v>572</v>
      </c>
      <c r="E193" s="8">
        <v>1</v>
      </c>
    </row>
    <row r="194" spans="1:5" ht="24.75" x14ac:dyDescent="0.25">
      <c r="A194" s="8" t="s">
        <v>338</v>
      </c>
      <c r="B194" s="8" t="s">
        <v>224</v>
      </c>
      <c r="C194" s="8" t="s">
        <v>234</v>
      </c>
      <c r="D194" s="8" t="s">
        <v>573</v>
      </c>
      <c r="E194" s="8">
        <v>1</v>
      </c>
    </row>
    <row r="195" spans="1:5" ht="24.75" x14ac:dyDescent="0.25">
      <c r="A195" s="8" t="s">
        <v>338</v>
      </c>
      <c r="B195" s="8" t="s">
        <v>224</v>
      </c>
      <c r="C195" s="8" t="s">
        <v>234</v>
      </c>
      <c r="D195" s="8" t="s">
        <v>574</v>
      </c>
      <c r="E195" s="8">
        <v>1</v>
      </c>
    </row>
    <row r="196" spans="1:5" ht="24.75" x14ac:dyDescent="0.25">
      <c r="A196" s="8" t="s">
        <v>338</v>
      </c>
      <c r="B196" s="8" t="s">
        <v>224</v>
      </c>
      <c r="C196" s="8" t="s">
        <v>234</v>
      </c>
      <c r="D196" s="8" t="s">
        <v>575</v>
      </c>
      <c r="E196" s="8">
        <v>1</v>
      </c>
    </row>
    <row r="197" spans="1:5" ht="24.75" x14ac:dyDescent="0.25">
      <c r="A197" s="8" t="s">
        <v>338</v>
      </c>
      <c r="B197" s="8" t="s">
        <v>224</v>
      </c>
      <c r="C197" s="8" t="s">
        <v>234</v>
      </c>
      <c r="D197" s="8" t="s">
        <v>576</v>
      </c>
      <c r="E197" s="8">
        <v>1</v>
      </c>
    </row>
    <row r="198" spans="1:5" ht="24.75" x14ac:dyDescent="0.25">
      <c r="A198" s="8" t="s">
        <v>338</v>
      </c>
      <c r="B198" s="8" t="s">
        <v>224</v>
      </c>
      <c r="C198" s="8" t="s">
        <v>234</v>
      </c>
      <c r="D198" s="8" t="s">
        <v>577</v>
      </c>
      <c r="E198" s="8">
        <v>1</v>
      </c>
    </row>
    <row r="199" spans="1:5" ht="24.75" x14ac:dyDescent="0.25">
      <c r="A199" s="8" t="s">
        <v>338</v>
      </c>
      <c r="B199" s="8" t="s">
        <v>224</v>
      </c>
      <c r="C199" s="8" t="s">
        <v>234</v>
      </c>
      <c r="D199" s="8" t="s">
        <v>578</v>
      </c>
      <c r="E199" s="8">
        <v>1</v>
      </c>
    </row>
    <row r="200" spans="1:5" ht="24.75" x14ac:dyDescent="0.25">
      <c r="A200" s="8" t="s">
        <v>338</v>
      </c>
      <c r="B200" s="8" t="s">
        <v>224</v>
      </c>
      <c r="C200" s="8" t="s">
        <v>234</v>
      </c>
      <c r="D200" s="8" t="s">
        <v>579</v>
      </c>
      <c r="E200" s="8">
        <v>1</v>
      </c>
    </row>
    <row r="201" spans="1:5" ht="24.75" x14ac:dyDescent="0.25">
      <c r="A201" s="8" t="s">
        <v>338</v>
      </c>
      <c r="B201" s="8" t="s">
        <v>224</v>
      </c>
      <c r="C201" s="8" t="s">
        <v>234</v>
      </c>
      <c r="D201" s="8" t="s">
        <v>580</v>
      </c>
      <c r="E201" s="8">
        <v>1</v>
      </c>
    </row>
    <row r="202" spans="1:5" ht="24.75" x14ac:dyDescent="0.25">
      <c r="A202" s="8" t="s">
        <v>338</v>
      </c>
      <c r="B202" s="8" t="s">
        <v>224</v>
      </c>
      <c r="C202" s="8" t="s">
        <v>234</v>
      </c>
      <c r="D202" s="8" t="s">
        <v>581</v>
      </c>
      <c r="E202" s="8">
        <v>1</v>
      </c>
    </row>
    <row r="203" spans="1:5" ht="24.75" x14ac:dyDescent="0.25">
      <c r="A203" s="8" t="s">
        <v>338</v>
      </c>
      <c r="B203" s="8" t="s">
        <v>224</v>
      </c>
      <c r="C203" s="8" t="s">
        <v>234</v>
      </c>
      <c r="D203" s="8" t="s">
        <v>582</v>
      </c>
      <c r="E203" s="8">
        <v>1</v>
      </c>
    </row>
    <row r="204" spans="1:5" ht="24.75" x14ac:dyDescent="0.25">
      <c r="A204" s="8" t="s">
        <v>338</v>
      </c>
      <c r="B204" s="8" t="s">
        <v>224</v>
      </c>
      <c r="C204" s="8" t="s">
        <v>234</v>
      </c>
      <c r="D204" s="8" t="s">
        <v>583</v>
      </c>
      <c r="E204" s="8">
        <v>1</v>
      </c>
    </row>
    <row r="205" spans="1:5" ht="24.75" x14ac:dyDescent="0.25">
      <c r="A205" s="8" t="s">
        <v>338</v>
      </c>
      <c r="B205" s="8" t="s">
        <v>224</v>
      </c>
      <c r="C205" s="8" t="s">
        <v>234</v>
      </c>
      <c r="D205" s="8" t="s">
        <v>584</v>
      </c>
      <c r="E205" s="8">
        <v>1</v>
      </c>
    </row>
    <row r="206" spans="1:5" ht="24.75" x14ac:dyDescent="0.25">
      <c r="A206" s="8" t="s">
        <v>338</v>
      </c>
      <c r="B206" s="8" t="s">
        <v>224</v>
      </c>
      <c r="C206" s="8" t="s">
        <v>234</v>
      </c>
      <c r="D206" s="8" t="s">
        <v>585</v>
      </c>
      <c r="E206" s="8">
        <v>1</v>
      </c>
    </row>
    <row r="207" spans="1:5" ht="24.75" x14ac:dyDescent="0.25">
      <c r="A207" s="8" t="s">
        <v>338</v>
      </c>
      <c r="B207" s="8" t="s">
        <v>224</v>
      </c>
      <c r="C207" s="8" t="s">
        <v>234</v>
      </c>
      <c r="D207" s="8" t="s">
        <v>586</v>
      </c>
      <c r="E207" s="8">
        <v>1</v>
      </c>
    </row>
    <row r="208" spans="1:5" ht="24.75" x14ac:dyDescent="0.25">
      <c r="A208" s="8" t="s">
        <v>338</v>
      </c>
      <c r="B208" s="8" t="s">
        <v>224</v>
      </c>
      <c r="C208" s="8" t="s">
        <v>234</v>
      </c>
      <c r="D208" s="8" t="s">
        <v>587</v>
      </c>
      <c r="E208" s="8">
        <v>1</v>
      </c>
    </row>
    <row r="209" spans="1:5" ht="24.75" x14ac:dyDescent="0.25">
      <c r="A209" s="8" t="s">
        <v>338</v>
      </c>
      <c r="B209" s="8" t="s">
        <v>224</v>
      </c>
      <c r="C209" s="8" t="s">
        <v>234</v>
      </c>
      <c r="D209" s="8" t="s">
        <v>588</v>
      </c>
      <c r="E209" s="8">
        <v>1</v>
      </c>
    </row>
    <row r="210" spans="1:5" ht="24.75" x14ac:dyDescent="0.25">
      <c r="A210" s="8" t="s">
        <v>338</v>
      </c>
      <c r="B210" s="8" t="s">
        <v>224</v>
      </c>
      <c r="C210" s="8" t="s">
        <v>234</v>
      </c>
      <c r="D210" s="8" t="s">
        <v>589</v>
      </c>
      <c r="E210" s="8">
        <v>1</v>
      </c>
    </row>
    <row r="211" spans="1:5" ht="24.75" x14ac:dyDescent="0.25">
      <c r="A211" s="8" t="s">
        <v>338</v>
      </c>
      <c r="B211" s="8" t="s">
        <v>224</v>
      </c>
      <c r="C211" s="8" t="s">
        <v>234</v>
      </c>
      <c r="D211" s="8" t="s">
        <v>590</v>
      </c>
      <c r="E211" s="8">
        <v>1</v>
      </c>
    </row>
    <row r="212" spans="1:5" ht="24.75" x14ac:dyDescent="0.25">
      <c r="A212" s="8" t="s">
        <v>338</v>
      </c>
      <c r="B212" s="8" t="s">
        <v>224</v>
      </c>
      <c r="C212" s="8" t="s">
        <v>234</v>
      </c>
      <c r="D212" s="8" t="s">
        <v>591</v>
      </c>
      <c r="E212" s="8">
        <v>1</v>
      </c>
    </row>
    <row r="213" spans="1:5" ht="24.75" x14ac:dyDescent="0.25">
      <c r="A213" s="8" t="s">
        <v>338</v>
      </c>
      <c r="B213" s="8" t="s">
        <v>224</v>
      </c>
      <c r="C213" s="8" t="s">
        <v>234</v>
      </c>
      <c r="D213" s="8" t="s">
        <v>592</v>
      </c>
      <c r="E213" s="8">
        <v>1</v>
      </c>
    </row>
    <row r="214" spans="1:5" ht="24.75" x14ac:dyDescent="0.25">
      <c r="A214" s="8" t="s">
        <v>338</v>
      </c>
      <c r="B214" s="8" t="s">
        <v>224</v>
      </c>
      <c r="C214" s="8" t="s">
        <v>234</v>
      </c>
      <c r="D214" s="8" t="s">
        <v>593</v>
      </c>
      <c r="E214" s="8">
        <v>1</v>
      </c>
    </row>
    <row r="215" spans="1:5" ht="24.75" x14ac:dyDescent="0.25">
      <c r="A215" s="8" t="s">
        <v>338</v>
      </c>
      <c r="B215" s="8" t="s">
        <v>224</v>
      </c>
      <c r="C215" s="8" t="s">
        <v>234</v>
      </c>
      <c r="D215" s="8" t="s">
        <v>594</v>
      </c>
      <c r="E215" s="8">
        <v>1</v>
      </c>
    </row>
    <row r="216" spans="1:5" ht="24.75" x14ac:dyDescent="0.25">
      <c r="A216" s="8" t="s">
        <v>338</v>
      </c>
      <c r="B216" s="8" t="s">
        <v>224</v>
      </c>
      <c r="C216" s="8" t="s">
        <v>234</v>
      </c>
      <c r="D216" s="8" t="s">
        <v>595</v>
      </c>
      <c r="E216" s="8">
        <v>1</v>
      </c>
    </row>
    <row r="217" spans="1:5" ht="24.75" x14ac:dyDescent="0.25">
      <c r="A217" s="8" t="s">
        <v>338</v>
      </c>
      <c r="B217" s="8" t="s">
        <v>224</v>
      </c>
      <c r="C217" s="8" t="s">
        <v>234</v>
      </c>
      <c r="D217" s="8" t="s">
        <v>596</v>
      </c>
      <c r="E217" s="8">
        <v>1</v>
      </c>
    </row>
    <row r="218" spans="1:5" ht="24.75" x14ac:dyDescent="0.25">
      <c r="A218" s="8" t="s">
        <v>338</v>
      </c>
      <c r="B218" s="8" t="s">
        <v>224</v>
      </c>
      <c r="C218" s="8" t="s">
        <v>234</v>
      </c>
      <c r="D218" s="8" t="s">
        <v>597</v>
      </c>
      <c r="E218" s="8">
        <v>1</v>
      </c>
    </row>
    <row r="219" spans="1:5" ht="24.75" x14ac:dyDescent="0.25">
      <c r="A219" s="8" t="s">
        <v>338</v>
      </c>
      <c r="B219" s="8" t="s">
        <v>224</v>
      </c>
      <c r="C219" s="8" t="s">
        <v>234</v>
      </c>
      <c r="D219" s="8" t="s">
        <v>598</v>
      </c>
      <c r="E219" s="8">
        <v>1</v>
      </c>
    </row>
    <row r="220" spans="1:5" ht="24.75" x14ac:dyDescent="0.25">
      <c r="A220" s="8" t="s">
        <v>338</v>
      </c>
      <c r="B220" s="8" t="s">
        <v>224</v>
      </c>
      <c r="C220" s="8" t="s">
        <v>234</v>
      </c>
      <c r="D220" s="8" t="s">
        <v>599</v>
      </c>
      <c r="E220" s="8">
        <v>1</v>
      </c>
    </row>
    <row r="221" spans="1:5" ht="24.75" x14ac:dyDescent="0.25">
      <c r="A221" s="8" t="s">
        <v>338</v>
      </c>
      <c r="B221" s="8" t="s">
        <v>224</v>
      </c>
      <c r="C221" s="8" t="s">
        <v>234</v>
      </c>
      <c r="D221" s="8" t="s">
        <v>600</v>
      </c>
      <c r="E221" s="8">
        <v>1</v>
      </c>
    </row>
    <row r="222" spans="1:5" ht="24.75" x14ac:dyDescent="0.25">
      <c r="A222" s="8" t="s">
        <v>338</v>
      </c>
      <c r="B222" s="8" t="s">
        <v>224</v>
      </c>
      <c r="C222" s="8" t="s">
        <v>234</v>
      </c>
      <c r="D222" s="8" t="s">
        <v>601</v>
      </c>
      <c r="E222" s="8">
        <v>1</v>
      </c>
    </row>
    <row r="223" spans="1:5" ht="24.75" x14ac:dyDescent="0.25">
      <c r="A223" s="8" t="s">
        <v>338</v>
      </c>
      <c r="B223" s="8" t="s">
        <v>224</v>
      </c>
      <c r="C223" s="8" t="s">
        <v>234</v>
      </c>
      <c r="D223" s="8" t="s">
        <v>602</v>
      </c>
      <c r="E223" s="8">
        <v>1</v>
      </c>
    </row>
    <row r="224" spans="1:5" ht="24.75" x14ac:dyDescent="0.25">
      <c r="A224" s="8" t="s">
        <v>338</v>
      </c>
      <c r="B224" s="8" t="s">
        <v>224</v>
      </c>
      <c r="C224" s="8" t="s">
        <v>234</v>
      </c>
      <c r="D224" s="8" t="s">
        <v>603</v>
      </c>
      <c r="E224" s="8">
        <v>1</v>
      </c>
    </row>
    <row r="225" spans="1:5" ht="24.75" x14ac:dyDescent="0.25">
      <c r="A225" s="8" t="s">
        <v>338</v>
      </c>
      <c r="B225" s="8" t="s">
        <v>224</v>
      </c>
      <c r="C225" s="8" t="s">
        <v>234</v>
      </c>
      <c r="D225" s="8" t="s">
        <v>604</v>
      </c>
      <c r="E225" s="8">
        <v>1</v>
      </c>
    </row>
    <row r="226" spans="1:5" ht="24.75" x14ac:dyDescent="0.25">
      <c r="A226" s="8" t="s">
        <v>338</v>
      </c>
      <c r="B226" s="8" t="s">
        <v>224</v>
      </c>
      <c r="C226" s="8" t="s">
        <v>234</v>
      </c>
      <c r="D226" s="8" t="s">
        <v>605</v>
      </c>
      <c r="E226" s="8">
        <v>1</v>
      </c>
    </row>
    <row r="227" spans="1:5" ht="24.75" x14ac:dyDescent="0.25">
      <c r="A227" s="8" t="s">
        <v>338</v>
      </c>
      <c r="B227" s="8" t="s">
        <v>224</v>
      </c>
      <c r="C227" s="8" t="s">
        <v>234</v>
      </c>
      <c r="D227" s="8" t="s">
        <v>606</v>
      </c>
      <c r="E227" s="8">
        <v>1</v>
      </c>
    </row>
    <row r="228" spans="1:5" ht="24.75" x14ac:dyDescent="0.25">
      <c r="A228" s="8" t="s">
        <v>338</v>
      </c>
      <c r="B228" s="8" t="s">
        <v>224</v>
      </c>
      <c r="C228" s="8" t="s">
        <v>234</v>
      </c>
      <c r="D228" s="8" t="s">
        <v>607</v>
      </c>
      <c r="E228" s="8">
        <v>1</v>
      </c>
    </row>
    <row r="229" spans="1:5" x14ac:dyDescent="0.25">
      <c r="A229" s="1" t="s">
        <v>198</v>
      </c>
      <c r="B229" s="1" t="s">
        <v>198</v>
      </c>
      <c r="C229" s="1">
        <f>SUBTOTAL(103,Elements13_2_61[Elemento])</f>
        <v>222</v>
      </c>
      <c r="D229" s="1" t="s">
        <v>198</v>
      </c>
      <c r="E229" s="1">
        <f>SUBTOTAL(109,Elements13_2_61[Totais:])</f>
        <v>222</v>
      </c>
    </row>
  </sheetData>
  <mergeCells count="3">
    <mergeCell ref="A1:E2"/>
    <mergeCell ref="A4:E4"/>
    <mergeCell ref="A5:E5"/>
  </mergeCells>
  <hyperlinks>
    <hyperlink ref="A1" location="'13.2.6'!A1" display="LEITOS - SUPORTE PARA PERFILADOS" xr:uid="{00000000-0004-0000-3700-000000000000}"/>
    <hyperlink ref="B1" location="'13.2.6'!A1" display="LEITOS - SUPORTE PARA PERFILADOS" xr:uid="{00000000-0004-0000-3700-000001000000}"/>
    <hyperlink ref="C1" location="'13.2.6'!A1" display="LEITOS - SUPORTE PARA PERFILADOS" xr:uid="{00000000-0004-0000-3700-000002000000}"/>
    <hyperlink ref="D1" location="'13.2.6'!A1" display="LEITOS - SUPORTE PARA PERFILADOS" xr:uid="{00000000-0004-0000-3700-000003000000}"/>
    <hyperlink ref="E1" location="'13.2.6'!A1" display="LEITOS - SUPORTE PARA PERFILADOS" xr:uid="{00000000-0004-0000-3700-000004000000}"/>
    <hyperlink ref="A2" location="'13.2.6'!A1" display="LEITOS - SUPORTE PARA PERFILADOS" xr:uid="{00000000-0004-0000-3700-000005000000}"/>
    <hyperlink ref="B2" location="'13.2.6'!A1" display="LEITOS - SUPORTE PARA PERFILADOS" xr:uid="{00000000-0004-0000-3700-000006000000}"/>
    <hyperlink ref="C2" location="'13.2.6'!A1" display="LEITOS - SUPORTE PARA PERFILADOS" xr:uid="{00000000-0004-0000-3700-000007000000}"/>
    <hyperlink ref="D2" location="'13.2.6'!A1" display="LEITOS - SUPORTE PARA PERFILADOS" xr:uid="{00000000-0004-0000-3700-000008000000}"/>
    <hyperlink ref="E2" location="'13.2.6'!A1" display="LEITOS - SUPORTE PARA PERFILADOS" xr:uid="{00000000-0004-0000-3700-000009000000}"/>
    <hyperlink ref="A4" location="'13.2.6'!A1" display="Acessórios do tubo (A)" xr:uid="{00000000-0004-0000-3700-00000A000000}"/>
    <hyperlink ref="B4" location="'13.2.6'!A1" display="Acessórios do tubo (A)" xr:uid="{00000000-0004-0000-3700-00000B000000}"/>
    <hyperlink ref="C4" location="'13.2.6'!A1" display="Acessórios do tubo (A)" xr:uid="{00000000-0004-0000-3700-00000C000000}"/>
    <hyperlink ref="D4" location="'13.2.6'!A1" display="Acessórios do tubo (A)" xr:uid="{00000000-0004-0000-3700-00000D000000}"/>
    <hyperlink ref="E4" location="'13.2.6'!A1" display="Acessórios do tubo (A)" xr:uid="{00000000-0004-0000-3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E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42</v>
      </c>
      <c r="B1" s="20" t="s">
        <v>42</v>
      </c>
      <c r="C1" s="20" t="s">
        <v>42</v>
      </c>
      <c r="D1" s="20" t="s">
        <v>42</v>
      </c>
      <c r="E1" s="20" t="s">
        <v>42</v>
      </c>
    </row>
    <row r="2" spans="1:5" x14ac:dyDescent="0.25">
      <c r="A2" s="20" t="s">
        <v>42</v>
      </c>
      <c r="B2" s="20" t="s">
        <v>42</v>
      </c>
      <c r="C2" s="20" t="s">
        <v>42</v>
      </c>
      <c r="D2" s="20" t="s">
        <v>42</v>
      </c>
      <c r="E2" s="20" t="s">
        <v>42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235</v>
      </c>
      <c r="D7" s="8" t="s">
        <v>608</v>
      </c>
      <c r="E7" s="8">
        <v>1</v>
      </c>
    </row>
    <row r="8" spans="1:5" x14ac:dyDescent="0.25">
      <c r="A8" s="1" t="s">
        <v>198</v>
      </c>
      <c r="B8" s="1" t="s">
        <v>198</v>
      </c>
      <c r="C8" s="1">
        <f>SUBTOTAL(103,Elements13_2_71[Elemento])</f>
        <v>1</v>
      </c>
      <c r="D8" s="1" t="s">
        <v>198</v>
      </c>
      <c r="E8" s="1">
        <f>SUBTOTAL(109,Elements13_2_71[Totais:])</f>
        <v>1</v>
      </c>
    </row>
  </sheetData>
  <mergeCells count="3">
    <mergeCell ref="A1:E2"/>
    <mergeCell ref="A4:E4"/>
    <mergeCell ref="A5:E5"/>
  </mergeCells>
  <hyperlinks>
    <hyperlink ref="A1" location="'13.2.7'!A1" display="HIDROMETRO COM DIAMETRO DE 1/2”.FORNECIMENTO" xr:uid="{00000000-0004-0000-3800-000000000000}"/>
    <hyperlink ref="B1" location="'13.2.7'!A1" display="HIDROMETRO COM DIAMETRO DE 1/2”.FORNECIMENTO" xr:uid="{00000000-0004-0000-3800-000001000000}"/>
    <hyperlink ref="C1" location="'13.2.7'!A1" display="HIDROMETRO COM DIAMETRO DE 1/2”.FORNECIMENTO" xr:uid="{00000000-0004-0000-3800-000002000000}"/>
    <hyperlink ref="D1" location="'13.2.7'!A1" display="HIDROMETRO COM DIAMETRO DE 1/2”.FORNECIMENTO" xr:uid="{00000000-0004-0000-3800-000003000000}"/>
    <hyperlink ref="E1" location="'13.2.7'!A1" display="HIDROMETRO COM DIAMETRO DE 1/2”.FORNECIMENTO" xr:uid="{00000000-0004-0000-3800-000004000000}"/>
    <hyperlink ref="A2" location="'13.2.7'!A1" display="HIDROMETRO COM DIAMETRO DE 1/2”.FORNECIMENTO" xr:uid="{00000000-0004-0000-3800-000005000000}"/>
    <hyperlink ref="B2" location="'13.2.7'!A1" display="HIDROMETRO COM DIAMETRO DE 1/2”.FORNECIMENTO" xr:uid="{00000000-0004-0000-3800-000006000000}"/>
    <hyperlink ref="C2" location="'13.2.7'!A1" display="HIDROMETRO COM DIAMETRO DE 1/2”.FORNECIMENTO" xr:uid="{00000000-0004-0000-3800-000007000000}"/>
    <hyperlink ref="D2" location="'13.2.7'!A1" display="HIDROMETRO COM DIAMETRO DE 1/2”.FORNECIMENTO" xr:uid="{00000000-0004-0000-3800-000008000000}"/>
    <hyperlink ref="E2" location="'13.2.7'!A1" display="HIDROMETRO COM DIAMETRO DE 1/2”.FORNECIMENTO" xr:uid="{00000000-0004-0000-3800-000009000000}"/>
    <hyperlink ref="A4" location="'13.2.7'!A1" display="Acessórios do tubo (A)" xr:uid="{00000000-0004-0000-3800-00000A000000}"/>
    <hyperlink ref="B4" location="'13.2.7'!A1" display="Acessórios do tubo (A)" xr:uid="{00000000-0004-0000-3800-00000B000000}"/>
    <hyperlink ref="C4" location="'13.2.7'!A1" display="Acessórios do tubo (A)" xr:uid="{00000000-0004-0000-3800-00000C000000}"/>
    <hyperlink ref="D4" location="'13.2.7'!A1" display="Acessórios do tubo (A)" xr:uid="{00000000-0004-0000-3800-00000D000000}"/>
    <hyperlink ref="E4" location="'13.2.7'!A1" display="Acessórios do tubo (A)" xr:uid="{00000000-0004-0000-3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E53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45</v>
      </c>
      <c r="B1" s="20" t="s">
        <v>45</v>
      </c>
      <c r="C1" s="20" t="s">
        <v>45</v>
      </c>
      <c r="D1" s="20" t="s">
        <v>45</v>
      </c>
      <c r="E1" s="20" t="s">
        <v>45</v>
      </c>
    </row>
    <row r="2" spans="1:5" x14ac:dyDescent="0.25">
      <c r="A2" s="20" t="s">
        <v>45</v>
      </c>
      <c r="B2" s="20" t="s">
        <v>45</v>
      </c>
      <c r="C2" s="20" t="s">
        <v>45</v>
      </c>
      <c r="D2" s="20" t="s">
        <v>45</v>
      </c>
      <c r="E2" s="20" t="s">
        <v>45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238</v>
      </c>
      <c r="D7" s="8" t="s">
        <v>609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238</v>
      </c>
      <c r="D8" s="8" t="s">
        <v>610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238</v>
      </c>
      <c r="D9" s="8" t="s">
        <v>611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238</v>
      </c>
      <c r="D10" s="8" t="s">
        <v>612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238</v>
      </c>
      <c r="D11" s="8" t="s">
        <v>613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238</v>
      </c>
      <c r="D12" s="8" t="s">
        <v>614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238</v>
      </c>
      <c r="D13" s="8" t="s">
        <v>615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238</v>
      </c>
      <c r="D14" s="8" t="s">
        <v>616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238</v>
      </c>
      <c r="D15" s="8" t="s">
        <v>617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238</v>
      </c>
      <c r="D16" s="8" t="s">
        <v>618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238</v>
      </c>
      <c r="D17" s="8" t="s">
        <v>619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238</v>
      </c>
      <c r="D18" s="8" t="s">
        <v>620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238</v>
      </c>
      <c r="D19" s="8" t="s">
        <v>621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238</v>
      </c>
      <c r="D20" s="8" t="s">
        <v>622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238</v>
      </c>
      <c r="D21" s="8" t="s">
        <v>623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238</v>
      </c>
      <c r="D22" s="8" t="s">
        <v>624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238</v>
      </c>
      <c r="D23" s="8" t="s">
        <v>625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238</v>
      </c>
      <c r="D24" s="8" t="s">
        <v>626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238</v>
      </c>
      <c r="D25" s="8" t="s">
        <v>627</v>
      </c>
      <c r="E25" s="8">
        <v>1</v>
      </c>
    </row>
    <row r="26" spans="1:5" ht="24.75" x14ac:dyDescent="0.25">
      <c r="A26" s="8" t="s">
        <v>338</v>
      </c>
      <c r="B26" s="8" t="s">
        <v>224</v>
      </c>
      <c r="C26" s="8" t="s">
        <v>238</v>
      </c>
      <c r="D26" s="8" t="s">
        <v>628</v>
      </c>
      <c r="E26" s="8">
        <v>1</v>
      </c>
    </row>
    <row r="27" spans="1:5" ht="24.75" x14ac:dyDescent="0.25">
      <c r="A27" s="8" t="s">
        <v>338</v>
      </c>
      <c r="B27" s="8" t="s">
        <v>224</v>
      </c>
      <c r="C27" s="8" t="s">
        <v>238</v>
      </c>
      <c r="D27" s="8" t="s">
        <v>629</v>
      </c>
      <c r="E27" s="8">
        <v>1</v>
      </c>
    </row>
    <row r="28" spans="1:5" ht="24.75" x14ac:dyDescent="0.25">
      <c r="A28" s="8" t="s">
        <v>338</v>
      </c>
      <c r="B28" s="8" t="s">
        <v>224</v>
      </c>
      <c r="C28" s="8" t="s">
        <v>238</v>
      </c>
      <c r="D28" s="8" t="s">
        <v>630</v>
      </c>
      <c r="E28" s="8">
        <v>1</v>
      </c>
    </row>
    <row r="29" spans="1:5" ht="24.75" x14ac:dyDescent="0.25">
      <c r="A29" s="8" t="s">
        <v>338</v>
      </c>
      <c r="B29" s="8" t="s">
        <v>224</v>
      </c>
      <c r="C29" s="8" t="s">
        <v>238</v>
      </c>
      <c r="D29" s="8" t="s">
        <v>631</v>
      </c>
      <c r="E29" s="8">
        <v>1</v>
      </c>
    </row>
    <row r="30" spans="1:5" ht="24.75" x14ac:dyDescent="0.25">
      <c r="A30" s="8" t="s">
        <v>338</v>
      </c>
      <c r="B30" s="8" t="s">
        <v>224</v>
      </c>
      <c r="C30" s="8" t="s">
        <v>238</v>
      </c>
      <c r="D30" s="8" t="s">
        <v>632</v>
      </c>
      <c r="E30" s="8">
        <v>1</v>
      </c>
    </row>
    <row r="31" spans="1:5" ht="24.75" x14ac:dyDescent="0.25">
      <c r="A31" s="8" t="s">
        <v>338</v>
      </c>
      <c r="B31" s="8" t="s">
        <v>224</v>
      </c>
      <c r="C31" s="8" t="s">
        <v>238</v>
      </c>
      <c r="D31" s="8" t="s">
        <v>633</v>
      </c>
      <c r="E31" s="8">
        <v>1</v>
      </c>
    </row>
    <row r="32" spans="1:5" ht="24.75" x14ac:dyDescent="0.25">
      <c r="A32" s="8" t="s">
        <v>338</v>
      </c>
      <c r="B32" s="8" t="s">
        <v>224</v>
      </c>
      <c r="C32" s="8" t="s">
        <v>238</v>
      </c>
      <c r="D32" s="8" t="s">
        <v>634</v>
      </c>
      <c r="E32" s="8">
        <v>1</v>
      </c>
    </row>
    <row r="33" spans="1:5" ht="24.75" x14ac:dyDescent="0.25">
      <c r="A33" s="8" t="s">
        <v>338</v>
      </c>
      <c r="B33" s="8" t="s">
        <v>224</v>
      </c>
      <c r="C33" s="8" t="s">
        <v>238</v>
      </c>
      <c r="D33" s="8" t="s">
        <v>635</v>
      </c>
      <c r="E33" s="8">
        <v>1</v>
      </c>
    </row>
    <row r="34" spans="1:5" ht="24.75" x14ac:dyDescent="0.25">
      <c r="A34" s="8" t="s">
        <v>338</v>
      </c>
      <c r="B34" s="8" t="s">
        <v>224</v>
      </c>
      <c r="C34" s="8" t="s">
        <v>238</v>
      </c>
      <c r="D34" s="8" t="s">
        <v>636</v>
      </c>
      <c r="E34" s="8">
        <v>1</v>
      </c>
    </row>
    <row r="35" spans="1:5" ht="24.75" x14ac:dyDescent="0.25">
      <c r="A35" s="8" t="s">
        <v>338</v>
      </c>
      <c r="B35" s="8" t="s">
        <v>224</v>
      </c>
      <c r="C35" s="8" t="s">
        <v>238</v>
      </c>
      <c r="D35" s="8" t="s">
        <v>637</v>
      </c>
      <c r="E35" s="8">
        <v>1</v>
      </c>
    </row>
    <row r="36" spans="1:5" ht="24.75" x14ac:dyDescent="0.25">
      <c r="A36" s="8" t="s">
        <v>338</v>
      </c>
      <c r="B36" s="8" t="s">
        <v>224</v>
      </c>
      <c r="C36" s="8" t="s">
        <v>238</v>
      </c>
      <c r="D36" s="8" t="s">
        <v>638</v>
      </c>
      <c r="E36" s="8">
        <v>1</v>
      </c>
    </row>
    <row r="37" spans="1:5" ht="24.75" x14ac:dyDescent="0.25">
      <c r="A37" s="8" t="s">
        <v>338</v>
      </c>
      <c r="B37" s="8" t="s">
        <v>224</v>
      </c>
      <c r="C37" s="8" t="s">
        <v>238</v>
      </c>
      <c r="D37" s="8" t="s">
        <v>639</v>
      </c>
      <c r="E37" s="8">
        <v>1</v>
      </c>
    </row>
    <row r="38" spans="1:5" ht="24.75" x14ac:dyDescent="0.25">
      <c r="A38" s="8" t="s">
        <v>338</v>
      </c>
      <c r="B38" s="8" t="s">
        <v>224</v>
      </c>
      <c r="C38" s="8" t="s">
        <v>238</v>
      </c>
      <c r="D38" s="8" t="s">
        <v>640</v>
      </c>
      <c r="E38" s="8">
        <v>1</v>
      </c>
    </row>
    <row r="39" spans="1:5" ht="24.75" x14ac:dyDescent="0.25">
      <c r="A39" s="8" t="s">
        <v>338</v>
      </c>
      <c r="B39" s="8" t="s">
        <v>224</v>
      </c>
      <c r="C39" s="8" t="s">
        <v>238</v>
      </c>
      <c r="D39" s="8" t="s">
        <v>641</v>
      </c>
      <c r="E39" s="8">
        <v>1</v>
      </c>
    </row>
    <row r="40" spans="1:5" ht="24.75" x14ac:dyDescent="0.25">
      <c r="A40" s="8" t="s">
        <v>338</v>
      </c>
      <c r="B40" s="8" t="s">
        <v>224</v>
      </c>
      <c r="C40" s="8" t="s">
        <v>238</v>
      </c>
      <c r="D40" s="8" t="s">
        <v>642</v>
      </c>
      <c r="E40" s="8">
        <v>1</v>
      </c>
    </row>
    <row r="41" spans="1:5" ht="24.75" x14ac:dyDescent="0.25">
      <c r="A41" s="8" t="s">
        <v>338</v>
      </c>
      <c r="B41" s="8" t="s">
        <v>224</v>
      </c>
      <c r="C41" s="8" t="s">
        <v>238</v>
      </c>
      <c r="D41" s="8" t="s">
        <v>643</v>
      </c>
      <c r="E41" s="8">
        <v>1</v>
      </c>
    </row>
    <row r="42" spans="1:5" ht="24.75" x14ac:dyDescent="0.25">
      <c r="A42" s="8" t="s">
        <v>338</v>
      </c>
      <c r="B42" s="8" t="s">
        <v>224</v>
      </c>
      <c r="C42" s="8" t="s">
        <v>238</v>
      </c>
      <c r="D42" s="8" t="s">
        <v>644</v>
      </c>
      <c r="E42" s="8">
        <v>1</v>
      </c>
    </row>
    <row r="43" spans="1:5" ht="24.75" x14ac:dyDescent="0.25">
      <c r="A43" s="8" t="s">
        <v>338</v>
      </c>
      <c r="B43" s="8" t="s">
        <v>224</v>
      </c>
      <c r="C43" s="8" t="s">
        <v>238</v>
      </c>
      <c r="D43" s="8" t="s">
        <v>645</v>
      </c>
      <c r="E43" s="8">
        <v>1</v>
      </c>
    </row>
    <row r="44" spans="1:5" ht="24.75" x14ac:dyDescent="0.25">
      <c r="A44" s="8" t="s">
        <v>338</v>
      </c>
      <c r="B44" s="8" t="s">
        <v>224</v>
      </c>
      <c r="C44" s="8" t="s">
        <v>238</v>
      </c>
      <c r="D44" s="8" t="s">
        <v>646</v>
      </c>
      <c r="E44" s="8">
        <v>1</v>
      </c>
    </row>
    <row r="45" spans="1:5" ht="24.75" x14ac:dyDescent="0.25">
      <c r="A45" s="8" t="s">
        <v>338</v>
      </c>
      <c r="B45" s="8" t="s">
        <v>224</v>
      </c>
      <c r="C45" s="8" t="s">
        <v>238</v>
      </c>
      <c r="D45" s="8" t="s">
        <v>647</v>
      </c>
      <c r="E45" s="8">
        <v>1</v>
      </c>
    </row>
    <row r="46" spans="1:5" ht="24.75" x14ac:dyDescent="0.25">
      <c r="A46" s="8" t="s">
        <v>338</v>
      </c>
      <c r="B46" s="8" t="s">
        <v>224</v>
      </c>
      <c r="C46" s="8" t="s">
        <v>238</v>
      </c>
      <c r="D46" s="8" t="s">
        <v>648</v>
      </c>
      <c r="E46" s="8">
        <v>1</v>
      </c>
    </row>
    <row r="47" spans="1:5" ht="24.75" x14ac:dyDescent="0.25">
      <c r="A47" s="8" t="s">
        <v>338</v>
      </c>
      <c r="B47" s="8" t="s">
        <v>224</v>
      </c>
      <c r="C47" s="8" t="s">
        <v>238</v>
      </c>
      <c r="D47" s="8" t="s">
        <v>649</v>
      </c>
      <c r="E47" s="8">
        <v>1</v>
      </c>
    </row>
    <row r="48" spans="1:5" ht="24.75" x14ac:dyDescent="0.25">
      <c r="A48" s="8" t="s">
        <v>338</v>
      </c>
      <c r="B48" s="8" t="s">
        <v>224</v>
      </c>
      <c r="C48" s="8" t="s">
        <v>238</v>
      </c>
      <c r="D48" s="8" t="s">
        <v>650</v>
      </c>
      <c r="E48" s="8">
        <v>1</v>
      </c>
    </row>
    <row r="49" spans="1:5" ht="24.75" x14ac:dyDescent="0.25">
      <c r="A49" s="8" t="s">
        <v>338</v>
      </c>
      <c r="B49" s="8" t="s">
        <v>224</v>
      </c>
      <c r="C49" s="8" t="s">
        <v>238</v>
      </c>
      <c r="D49" s="8" t="s">
        <v>651</v>
      </c>
      <c r="E49" s="8">
        <v>1</v>
      </c>
    </row>
    <row r="50" spans="1:5" ht="24.75" x14ac:dyDescent="0.25">
      <c r="A50" s="8" t="s">
        <v>338</v>
      </c>
      <c r="B50" s="8" t="s">
        <v>224</v>
      </c>
      <c r="C50" s="8" t="s">
        <v>238</v>
      </c>
      <c r="D50" s="8" t="s">
        <v>652</v>
      </c>
      <c r="E50" s="8">
        <v>1</v>
      </c>
    </row>
    <row r="51" spans="1:5" ht="24.75" x14ac:dyDescent="0.25">
      <c r="A51" s="8" t="s">
        <v>338</v>
      </c>
      <c r="B51" s="8" t="s">
        <v>224</v>
      </c>
      <c r="C51" s="8" t="s">
        <v>238</v>
      </c>
      <c r="D51" s="8" t="s">
        <v>653</v>
      </c>
      <c r="E51" s="8">
        <v>1</v>
      </c>
    </row>
    <row r="52" spans="1:5" ht="24.75" x14ac:dyDescent="0.25">
      <c r="A52" s="8" t="s">
        <v>338</v>
      </c>
      <c r="B52" s="8" t="s">
        <v>224</v>
      </c>
      <c r="C52" s="8" t="s">
        <v>238</v>
      </c>
      <c r="D52" s="8" t="s">
        <v>654</v>
      </c>
      <c r="E52" s="8">
        <v>1</v>
      </c>
    </row>
    <row r="53" spans="1:5" x14ac:dyDescent="0.25">
      <c r="A53" s="1" t="s">
        <v>198</v>
      </c>
      <c r="B53" s="1" t="s">
        <v>198</v>
      </c>
      <c r="C53" s="1">
        <f>SUBTOTAL(103,Elements13_2_81[Elemento])</f>
        <v>46</v>
      </c>
      <c r="D53" s="1" t="s">
        <v>198</v>
      </c>
      <c r="E53" s="1">
        <f>SUBTOTAL(109,Elements13_2_81[Totais:])</f>
        <v>46</v>
      </c>
    </row>
  </sheetData>
  <mergeCells count="3">
    <mergeCell ref="A1:E2"/>
    <mergeCell ref="A4:E4"/>
    <mergeCell ref="A5:E5"/>
  </mergeCells>
  <hyperlinks>
    <hyperlink ref="A1" location="'13.2.8'!A1" display="REGISTRO DE GAVETA BRUTO,COM DIAMETRO DE 3/4&quot;.FORNECIMENTO E COLOCACAO" xr:uid="{00000000-0004-0000-3900-000000000000}"/>
    <hyperlink ref="B1" location="'13.2.8'!A1" display="REGISTRO DE GAVETA BRUTO,COM DIAMETRO DE 3/4&quot;.FORNECIMENTO E COLOCACAO" xr:uid="{00000000-0004-0000-3900-000001000000}"/>
    <hyperlink ref="C1" location="'13.2.8'!A1" display="REGISTRO DE GAVETA BRUTO,COM DIAMETRO DE 3/4&quot;.FORNECIMENTO E COLOCACAO" xr:uid="{00000000-0004-0000-3900-000002000000}"/>
    <hyperlink ref="D1" location="'13.2.8'!A1" display="REGISTRO DE GAVETA BRUTO,COM DIAMETRO DE 3/4&quot;.FORNECIMENTO E COLOCACAO" xr:uid="{00000000-0004-0000-3900-000003000000}"/>
    <hyperlink ref="E1" location="'13.2.8'!A1" display="REGISTRO DE GAVETA BRUTO,COM DIAMETRO DE 3/4&quot;.FORNECIMENTO E COLOCACAO" xr:uid="{00000000-0004-0000-3900-000004000000}"/>
    <hyperlink ref="A2" location="'13.2.8'!A1" display="REGISTRO DE GAVETA BRUTO,COM DIAMETRO DE 3/4&quot;.FORNECIMENTO E COLOCACAO" xr:uid="{00000000-0004-0000-3900-000005000000}"/>
    <hyperlink ref="B2" location="'13.2.8'!A1" display="REGISTRO DE GAVETA BRUTO,COM DIAMETRO DE 3/4&quot;.FORNECIMENTO E COLOCACAO" xr:uid="{00000000-0004-0000-3900-000006000000}"/>
    <hyperlink ref="C2" location="'13.2.8'!A1" display="REGISTRO DE GAVETA BRUTO,COM DIAMETRO DE 3/4&quot;.FORNECIMENTO E COLOCACAO" xr:uid="{00000000-0004-0000-3900-000007000000}"/>
    <hyperlink ref="D2" location="'13.2.8'!A1" display="REGISTRO DE GAVETA BRUTO,COM DIAMETRO DE 3/4&quot;.FORNECIMENTO E COLOCACAO" xr:uid="{00000000-0004-0000-3900-000008000000}"/>
    <hyperlink ref="E2" location="'13.2.8'!A1" display="REGISTRO DE GAVETA BRUTO,COM DIAMETRO DE 3/4&quot;.FORNECIMENTO E COLOCACAO" xr:uid="{00000000-0004-0000-3900-000009000000}"/>
    <hyperlink ref="A4" location="'13.2.8'!A1" display="Acessórios do tubo (A)" xr:uid="{00000000-0004-0000-3900-00000A000000}"/>
    <hyperlink ref="B4" location="'13.2.8'!A1" display="Acessórios do tubo (A)" xr:uid="{00000000-0004-0000-3900-00000B000000}"/>
    <hyperlink ref="C4" location="'13.2.8'!A1" display="Acessórios do tubo (A)" xr:uid="{00000000-0004-0000-3900-00000C000000}"/>
    <hyperlink ref="D4" location="'13.2.8'!A1" display="Acessórios do tubo (A)" xr:uid="{00000000-0004-0000-3900-00000D000000}"/>
    <hyperlink ref="E4" location="'13.2.8'!A1" display="Acessórios do tubo (A)" xr:uid="{00000000-0004-0000-3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E22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49</v>
      </c>
      <c r="B1" s="20" t="s">
        <v>49</v>
      </c>
      <c r="C1" s="20" t="s">
        <v>49</v>
      </c>
      <c r="D1" s="20" t="s">
        <v>49</v>
      </c>
      <c r="E1" s="20" t="s">
        <v>49</v>
      </c>
    </row>
    <row r="2" spans="1:5" x14ac:dyDescent="0.25">
      <c r="A2" s="20" t="s">
        <v>49</v>
      </c>
      <c r="B2" s="20" t="s">
        <v>49</v>
      </c>
      <c r="C2" s="20" t="s">
        <v>49</v>
      </c>
      <c r="D2" s="20" t="s">
        <v>49</v>
      </c>
      <c r="E2" s="20" t="s">
        <v>49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241</v>
      </c>
      <c r="D7" s="8" t="s">
        <v>655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241</v>
      </c>
      <c r="D8" s="8" t="s">
        <v>656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241</v>
      </c>
      <c r="D9" s="8" t="s">
        <v>657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241</v>
      </c>
      <c r="D10" s="8" t="s">
        <v>658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241</v>
      </c>
      <c r="D11" s="8" t="s">
        <v>659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241</v>
      </c>
      <c r="D12" s="8" t="s">
        <v>660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241</v>
      </c>
      <c r="D13" s="8" t="s">
        <v>661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241</v>
      </c>
      <c r="D14" s="8" t="s">
        <v>662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241</v>
      </c>
      <c r="D15" s="8" t="s">
        <v>663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241</v>
      </c>
      <c r="D16" s="8" t="s">
        <v>664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241</v>
      </c>
      <c r="D17" s="8" t="s">
        <v>665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241</v>
      </c>
      <c r="D18" s="8" t="s">
        <v>666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241</v>
      </c>
      <c r="D19" s="8" t="s">
        <v>667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241</v>
      </c>
      <c r="D20" s="8" t="s">
        <v>668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241</v>
      </c>
      <c r="D21" s="8" t="s">
        <v>669</v>
      </c>
      <c r="E21" s="8">
        <v>1</v>
      </c>
    </row>
    <row r="22" spans="1:5" x14ac:dyDescent="0.25">
      <c r="A22" s="1" t="s">
        <v>198</v>
      </c>
      <c r="B22" s="1" t="s">
        <v>198</v>
      </c>
      <c r="C22" s="1">
        <f>SUBTOTAL(103,Elements13_2_91[Elemento])</f>
        <v>15</v>
      </c>
      <c r="D22" s="1" t="s">
        <v>198</v>
      </c>
      <c r="E22" s="1">
        <f>SUBTOTAL(109,Elements13_2_91[Totais:])</f>
        <v>15</v>
      </c>
    </row>
  </sheetData>
  <mergeCells count="3">
    <mergeCell ref="A1:E2"/>
    <mergeCell ref="A4:E4"/>
    <mergeCell ref="A5:E5"/>
  </mergeCells>
  <hyperlinks>
    <hyperlink ref="A1" location="'13.2.9'!A1" display="REGISTRO DE PRESSAO,1416 DE 3/4&quot;,COM CANOPLA E VOLANTE EM ME TAL CROMADO.FORNECIMENTO" xr:uid="{00000000-0004-0000-3A00-000000000000}"/>
    <hyperlink ref="B1" location="'13.2.9'!A1" display="REGISTRO DE PRESSAO,1416 DE 3/4&quot;,COM CANOPLA E VOLANTE EM ME TAL CROMADO.FORNECIMENTO" xr:uid="{00000000-0004-0000-3A00-000001000000}"/>
    <hyperlink ref="C1" location="'13.2.9'!A1" display="REGISTRO DE PRESSAO,1416 DE 3/4&quot;,COM CANOPLA E VOLANTE EM ME TAL CROMADO.FORNECIMENTO" xr:uid="{00000000-0004-0000-3A00-000002000000}"/>
    <hyperlink ref="D1" location="'13.2.9'!A1" display="REGISTRO DE PRESSAO,1416 DE 3/4&quot;,COM CANOPLA E VOLANTE EM ME TAL CROMADO.FORNECIMENTO" xr:uid="{00000000-0004-0000-3A00-000003000000}"/>
    <hyperlink ref="E1" location="'13.2.9'!A1" display="REGISTRO DE PRESSAO,1416 DE 3/4&quot;,COM CANOPLA E VOLANTE EM ME TAL CROMADO.FORNECIMENTO" xr:uid="{00000000-0004-0000-3A00-000004000000}"/>
    <hyperlink ref="A2" location="'13.2.9'!A1" display="REGISTRO DE PRESSAO,1416 DE 3/4&quot;,COM CANOPLA E VOLANTE EM ME TAL CROMADO.FORNECIMENTO" xr:uid="{00000000-0004-0000-3A00-000005000000}"/>
    <hyperlink ref="B2" location="'13.2.9'!A1" display="REGISTRO DE PRESSAO,1416 DE 3/4&quot;,COM CANOPLA E VOLANTE EM ME TAL CROMADO.FORNECIMENTO" xr:uid="{00000000-0004-0000-3A00-000006000000}"/>
    <hyperlink ref="C2" location="'13.2.9'!A1" display="REGISTRO DE PRESSAO,1416 DE 3/4&quot;,COM CANOPLA E VOLANTE EM ME TAL CROMADO.FORNECIMENTO" xr:uid="{00000000-0004-0000-3A00-000007000000}"/>
    <hyperlink ref="D2" location="'13.2.9'!A1" display="REGISTRO DE PRESSAO,1416 DE 3/4&quot;,COM CANOPLA E VOLANTE EM ME TAL CROMADO.FORNECIMENTO" xr:uid="{00000000-0004-0000-3A00-000008000000}"/>
    <hyperlink ref="E2" location="'13.2.9'!A1" display="REGISTRO DE PRESSAO,1416 DE 3/4&quot;,COM CANOPLA E VOLANTE EM ME TAL CROMADO.FORNECIMENTO" xr:uid="{00000000-0004-0000-3A00-000009000000}"/>
    <hyperlink ref="A4" location="'13.2.9'!A1" display="Acessórios do tubo (A)" xr:uid="{00000000-0004-0000-3A00-00000A000000}"/>
    <hyperlink ref="B4" location="'13.2.9'!A1" display="Acessórios do tubo (A)" xr:uid="{00000000-0004-0000-3A00-00000B000000}"/>
    <hyperlink ref="C4" location="'13.2.9'!A1" display="Acessórios do tubo (A)" xr:uid="{00000000-0004-0000-3A00-00000C000000}"/>
    <hyperlink ref="D4" location="'13.2.9'!A1" display="Acessórios do tubo (A)" xr:uid="{00000000-0004-0000-3A00-00000D000000}"/>
    <hyperlink ref="E4" location="'13.2.9'!A1" display="Acessórios do tubo (A)" xr:uid="{00000000-0004-0000-3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26</v>
      </c>
      <c r="B2" s="5" t="s">
        <v>27</v>
      </c>
      <c r="C2" s="5" t="s">
        <v>14</v>
      </c>
      <c r="D2" s="5" t="s">
        <v>28</v>
      </c>
      <c r="E2" s="5" t="s">
        <v>16</v>
      </c>
      <c r="F2" s="5" t="s">
        <v>220</v>
      </c>
      <c r="G2" s="5">
        <v>5.33</v>
      </c>
      <c r="H2" s="5">
        <v>6.3880050000000006</v>
      </c>
      <c r="I2" s="5">
        <v>108.59608500000002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17</v>
      </c>
      <c r="D8" s="8" t="s">
        <v>197</v>
      </c>
      <c r="E8" s="8">
        <v>17</v>
      </c>
    </row>
    <row r="9" spans="1:9" x14ac:dyDescent="0.25">
      <c r="A9" s="8" t="s">
        <v>198</v>
      </c>
      <c r="B9" s="8" t="s">
        <v>198</v>
      </c>
      <c r="C9" s="8">
        <f>SUBTOTAL(109,Criteria_Summary13.2.4[Elementos])</f>
        <v>17</v>
      </c>
      <c r="D9" s="8" t="s">
        <v>198</v>
      </c>
      <c r="E9" s="8">
        <f>SUBTOTAL(109,Criteria_Summary13.2.4[Total])</f>
        <v>17</v>
      </c>
    </row>
    <row r="10" spans="1:9" x14ac:dyDescent="0.25">
      <c r="A10" s="9" t="s">
        <v>199</v>
      </c>
      <c r="B10" s="9">
        <v>0</v>
      </c>
      <c r="C10" s="10"/>
      <c r="D10" s="10"/>
      <c r="E10" s="9">
        <v>17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17</v>
      </c>
      <c r="C16" s="18" t="s">
        <v>201</v>
      </c>
      <c r="D16" s="18" t="s">
        <v>201</v>
      </c>
      <c r="E16" s="8">
        <v>17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225</v>
      </c>
      <c r="B24" s="18" t="s">
        <v>225</v>
      </c>
      <c r="C24" s="18" t="s">
        <v>225</v>
      </c>
      <c r="D24" s="8" t="s">
        <v>205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84.75" x14ac:dyDescent="0.25">
      <c r="A28" s="8" t="s">
        <v>211</v>
      </c>
      <c r="B28" s="8" t="s">
        <v>212</v>
      </c>
      <c r="C28" s="8" t="s">
        <v>226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4" xr:uid="{00000000-0004-0000-0500-000000000000}"/>
    <hyperlink ref="F2" location="'13.2.4E'!A1" display="17" xr:uid="{00000000-0004-0000-0500-000001000000}"/>
    <hyperlink ref="E10" location="'13.2.4E'!A1" display="'13.2.4E'!A1" xr:uid="{00000000-0004-0000-05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E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52</v>
      </c>
      <c r="B1" s="20" t="s">
        <v>52</v>
      </c>
      <c r="C1" s="20" t="s">
        <v>52</v>
      </c>
      <c r="D1" s="20" t="s">
        <v>52</v>
      </c>
      <c r="E1" s="20" t="s">
        <v>52</v>
      </c>
    </row>
    <row r="2" spans="1:5" x14ac:dyDescent="0.25">
      <c r="A2" s="20" t="s">
        <v>52</v>
      </c>
      <c r="B2" s="20" t="s">
        <v>52</v>
      </c>
      <c r="C2" s="20" t="s">
        <v>52</v>
      </c>
      <c r="D2" s="20" t="s">
        <v>52</v>
      </c>
      <c r="E2" s="20" t="s">
        <v>52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244</v>
      </c>
      <c r="D7" s="8" t="s">
        <v>670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244</v>
      </c>
      <c r="D8" s="8" t="s">
        <v>671</v>
      </c>
      <c r="E8" s="8">
        <v>1</v>
      </c>
    </row>
    <row r="9" spans="1:5" x14ac:dyDescent="0.25">
      <c r="A9" s="1" t="s">
        <v>198</v>
      </c>
      <c r="B9" s="1" t="s">
        <v>198</v>
      </c>
      <c r="C9" s="1">
        <f>SUBTOTAL(103,Elements13_2_101[Elemento])</f>
        <v>2</v>
      </c>
      <c r="D9" s="1" t="s">
        <v>198</v>
      </c>
      <c r="E9" s="1">
        <f>SUBTOTAL(109,Elements13_2_101[Totais:])</f>
        <v>2</v>
      </c>
    </row>
  </sheetData>
  <mergeCells count="3">
    <mergeCell ref="A1:E2"/>
    <mergeCell ref="A4:E4"/>
    <mergeCell ref="A5:E5"/>
  </mergeCells>
  <hyperlinks>
    <hyperlink ref="A1" location="'13.2.10'!A1" display="REGISTRO DE ESFERA,EM PVC,SOLDAVEL,COM DIAMETRO DE 25MM.FORN ECIMENTO E COLOCACAO" xr:uid="{00000000-0004-0000-3B00-000000000000}"/>
    <hyperlink ref="B1" location="'13.2.10'!A1" display="REGISTRO DE ESFERA,EM PVC,SOLDAVEL,COM DIAMETRO DE 25MM.FORN ECIMENTO E COLOCACAO" xr:uid="{00000000-0004-0000-3B00-000001000000}"/>
    <hyperlink ref="C1" location="'13.2.10'!A1" display="REGISTRO DE ESFERA,EM PVC,SOLDAVEL,COM DIAMETRO DE 25MM.FORN ECIMENTO E COLOCACAO" xr:uid="{00000000-0004-0000-3B00-000002000000}"/>
    <hyperlink ref="D1" location="'13.2.10'!A1" display="REGISTRO DE ESFERA,EM PVC,SOLDAVEL,COM DIAMETRO DE 25MM.FORN ECIMENTO E COLOCACAO" xr:uid="{00000000-0004-0000-3B00-000003000000}"/>
    <hyperlink ref="E1" location="'13.2.10'!A1" display="REGISTRO DE ESFERA,EM PVC,SOLDAVEL,COM DIAMETRO DE 25MM.FORN ECIMENTO E COLOCACAO" xr:uid="{00000000-0004-0000-3B00-000004000000}"/>
    <hyperlink ref="A2" location="'13.2.10'!A1" display="REGISTRO DE ESFERA,EM PVC,SOLDAVEL,COM DIAMETRO DE 25MM.FORN ECIMENTO E COLOCACAO" xr:uid="{00000000-0004-0000-3B00-000005000000}"/>
    <hyperlink ref="B2" location="'13.2.10'!A1" display="REGISTRO DE ESFERA,EM PVC,SOLDAVEL,COM DIAMETRO DE 25MM.FORN ECIMENTO E COLOCACAO" xr:uid="{00000000-0004-0000-3B00-000006000000}"/>
    <hyperlink ref="C2" location="'13.2.10'!A1" display="REGISTRO DE ESFERA,EM PVC,SOLDAVEL,COM DIAMETRO DE 25MM.FORN ECIMENTO E COLOCACAO" xr:uid="{00000000-0004-0000-3B00-000007000000}"/>
    <hyperlink ref="D2" location="'13.2.10'!A1" display="REGISTRO DE ESFERA,EM PVC,SOLDAVEL,COM DIAMETRO DE 25MM.FORN ECIMENTO E COLOCACAO" xr:uid="{00000000-0004-0000-3B00-000008000000}"/>
    <hyperlink ref="E2" location="'13.2.10'!A1" display="REGISTRO DE ESFERA,EM PVC,SOLDAVEL,COM DIAMETRO DE 25MM.FORN ECIMENTO E COLOCACAO" xr:uid="{00000000-0004-0000-3B00-000009000000}"/>
    <hyperlink ref="A4" location="'13.2.10'!A1" display="Acessórios do tubo (A)" xr:uid="{00000000-0004-0000-3B00-00000A000000}"/>
    <hyperlink ref="B4" location="'13.2.10'!A1" display="Acessórios do tubo (A)" xr:uid="{00000000-0004-0000-3B00-00000B000000}"/>
    <hyperlink ref="C4" location="'13.2.10'!A1" display="Acessórios do tubo (A)" xr:uid="{00000000-0004-0000-3B00-00000C000000}"/>
    <hyperlink ref="D4" location="'13.2.10'!A1" display="Acessórios do tubo (A)" xr:uid="{00000000-0004-0000-3B00-00000D000000}"/>
    <hyperlink ref="E4" location="'13.2.10'!A1" display="Acessórios do tubo (A)" xr:uid="{00000000-0004-0000-3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E32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55</v>
      </c>
      <c r="B1" s="20" t="s">
        <v>55</v>
      </c>
      <c r="C1" s="20" t="s">
        <v>55</v>
      </c>
      <c r="D1" s="20" t="s">
        <v>55</v>
      </c>
      <c r="E1" s="20" t="s">
        <v>55</v>
      </c>
    </row>
    <row r="2" spans="1:5" x14ac:dyDescent="0.25">
      <c r="A2" s="20" t="s">
        <v>55</v>
      </c>
      <c r="B2" s="20" t="s">
        <v>55</v>
      </c>
      <c r="C2" s="20" t="s">
        <v>55</v>
      </c>
      <c r="D2" s="20" t="s">
        <v>55</v>
      </c>
      <c r="E2" s="20" t="s">
        <v>55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247</v>
      </c>
      <c r="D7" s="8" t="s">
        <v>672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247</v>
      </c>
      <c r="D8" s="8" t="s">
        <v>673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247</v>
      </c>
      <c r="D9" s="8" t="s">
        <v>674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247</v>
      </c>
      <c r="D10" s="8" t="s">
        <v>675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247</v>
      </c>
      <c r="D11" s="8" t="s">
        <v>676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247</v>
      </c>
      <c r="D12" s="8" t="s">
        <v>677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247</v>
      </c>
      <c r="D13" s="8" t="s">
        <v>678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247</v>
      </c>
      <c r="D14" s="8" t="s">
        <v>679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247</v>
      </c>
      <c r="D15" s="8" t="s">
        <v>680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247</v>
      </c>
      <c r="D16" s="8" t="s">
        <v>681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247</v>
      </c>
      <c r="D17" s="8" t="s">
        <v>682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247</v>
      </c>
      <c r="D18" s="8" t="s">
        <v>683</v>
      </c>
      <c r="E18" s="8">
        <v>1</v>
      </c>
    </row>
    <row r="19" spans="1:5" x14ac:dyDescent="0.25">
      <c r="A19" s="1" t="s">
        <v>198</v>
      </c>
      <c r="B19" s="1" t="s">
        <v>198</v>
      </c>
      <c r="C19" s="1">
        <f>SUBTOTAL(103,Elements13_2_111[Elemento])</f>
        <v>12</v>
      </c>
      <c r="D19" s="1" t="s">
        <v>198</v>
      </c>
      <c r="E19" s="1">
        <f>SUBTOTAL(109,Elements13_2_111[Totais:])</f>
        <v>12</v>
      </c>
    </row>
    <row r="22" spans="1:5" x14ac:dyDescent="0.25">
      <c r="A22" s="20" t="s">
        <v>55</v>
      </c>
      <c r="B22" s="20" t="s">
        <v>55</v>
      </c>
      <c r="C22" s="20" t="s">
        <v>55</v>
      </c>
      <c r="D22" s="20" t="s">
        <v>55</v>
      </c>
      <c r="E22" s="20" t="s">
        <v>55</v>
      </c>
    </row>
    <row r="23" spans="1:5" x14ac:dyDescent="0.25">
      <c r="A23" s="20" t="s">
        <v>55</v>
      </c>
      <c r="B23" s="20" t="s">
        <v>55</v>
      </c>
      <c r="C23" s="20" t="s">
        <v>55</v>
      </c>
      <c r="D23" s="20" t="s">
        <v>55</v>
      </c>
      <c r="E23" s="20" t="s">
        <v>55</v>
      </c>
    </row>
    <row r="25" spans="1:5" x14ac:dyDescent="0.25">
      <c r="A25" s="15" t="s">
        <v>231</v>
      </c>
      <c r="B25" s="15" t="s">
        <v>231</v>
      </c>
      <c r="C25" s="15" t="s">
        <v>231</v>
      </c>
      <c r="D25" s="15" t="s">
        <v>231</v>
      </c>
      <c r="E25" s="15" t="s">
        <v>231</v>
      </c>
    </row>
    <row r="26" spans="1:5" x14ac:dyDescent="0.25">
      <c r="A26" s="21" t="s">
        <v>198</v>
      </c>
      <c r="B26" s="21" t="s">
        <v>198</v>
      </c>
      <c r="C26" s="21" t="s">
        <v>198</v>
      </c>
      <c r="D26" s="21" t="s">
        <v>198</v>
      </c>
      <c r="E26" s="21" t="s">
        <v>198</v>
      </c>
    </row>
    <row r="27" spans="1:5" x14ac:dyDescent="0.25">
      <c r="A27" s="7" t="s">
        <v>333</v>
      </c>
      <c r="B27" s="7" t="s">
        <v>334</v>
      </c>
      <c r="C27" s="7" t="s">
        <v>335</v>
      </c>
      <c r="D27" s="7" t="s">
        <v>336</v>
      </c>
      <c r="E27" s="7" t="s">
        <v>337</v>
      </c>
    </row>
    <row r="28" spans="1:5" ht="24.75" x14ac:dyDescent="0.25">
      <c r="A28" s="8" t="s">
        <v>338</v>
      </c>
      <c r="B28" s="8" t="s">
        <v>224</v>
      </c>
      <c r="C28" s="8" t="s">
        <v>249</v>
      </c>
      <c r="D28" s="8" t="s">
        <v>684</v>
      </c>
      <c r="E28" s="8">
        <v>1</v>
      </c>
    </row>
    <row r="29" spans="1:5" ht="24.75" x14ac:dyDescent="0.25">
      <c r="A29" s="8" t="s">
        <v>338</v>
      </c>
      <c r="B29" s="8" t="s">
        <v>224</v>
      </c>
      <c r="C29" s="8" t="s">
        <v>249</v>
      </c>
      <c r="D29" s="8" t="s">
        <v>685</v>
      </c>
      <c r="E29" s="8">
        <v>1</v>
      </c>
    </row>
    <row r="30" spans="1:5" ht="24.75" x14ac:dyDescent="0.25">
      <c r="A30" s="8" t="s">
        <v>338</v>
      </c>
      <c r="B30" s="8" t="s">
        <v>224</v>
      </c>
      <c r="C30" s="8" t="s">
        <v>249</v>
      </c>
      <c r="D30" s="8" t="s">
        <v>686</v>
      </c>
      <c r="E30" s="8">
        <v>1</v>
      </c>
    </row>
    <row r="31" spans="1:5" ht="24.75" x14ac:dyDescent="0.25">
      <c r="A31" s="8" t="s">
        <v>338</v>
      </c>
      <c r="B31" s="8" t="s">
        <v>224</v>
      </c>
      <c r="C31" s="8" t="s">
        <v>249</v>
      </c>
      <c r="D31" s="8" t="s">
        <v>687</v>
      </c>
      <c r="E31" s="8">
        <v>1</v>
      </c>
    </row>
    <row r="32" spans="1:5" x14ac:dyDescent="0.25">
      <c r="A32" s="1" t="s">
        <v>198</v>
      </c>
      <c r="B32" s="1" t="s">
        <v>198</v>
      </c>
      <c r="C32" s="1">
        <f>SUBTOTAL(103,Elements13_2_112[Elemento])</f>
        <v>4</v>
      </c>
      <c r="D32" s="1" t="s">
        <v>198</v>
      </c>
      <c r="E32" s="1">
        <f>SUBTOTAL(109,Elements13_2_112[Totais:])</f>
        <v>4</v>
      </c>
    </row>
  </sheetData>
  <mergeCells count="6">
    <mergeCell ref="A26:E26"/>
    <mergeCell ref="A1:E2"/>
    <mergeCell ref="A4:E4"/>
    <mergeCell ref="A5:E5"/>
    <mergeCell ref="A22:E23"/>
    <mergeCell ref="A25:E25"/>
  </mergeCells>
  <hyperlinks>
    <hyperlink ref="A1" location="'13.2.11'!A1" display="REGISTRO EM ESFERA,EM PVC,SOLDAVEL,COM DIAMETRO DE 50MM.FORN ECIMENTO E COLOCACAO" xr:uid="{00000000-0004-0000-3C00-000000000000}"/>
    <hyperlink ref="B1" location="'13.2.11'!A1" display="REGISTRO EM ESFERA,EM PVC,SOLDAVEL,COM DIAMETRO DE 50MM.FORN ECIMENTO E COLOCACAO" xr:uid="{00000000-0004-0000-3C00-000001000000}"/>
    <hyperlink ref="C1" location="'13.2.11'!A1" display="REGISTRO EM ESFERA,EM PVC,SOLDAVEL,COM DIAMETRO DE 50MM.FORN ECIMENTO E COLOCACAO" xr:uid="{00000000-0004-0000-3C00-000002000000}"/>
    <hyperlink ref="D1" location="'13.2.11'!A1" display="REGISTRO EM ESFERA,EM PVC,SOLDAVEL,COM DIAMETRO DE 50MM.FORN ECIMENTO E COLOCACAO" xr:uid="{00000000-0004-0000-3C00-000003000000}"/>
    <hyperlink ref="E1" location="'13.2.11'!A1" display="REGISTRO EM ESFERA,EM PVC,SOLDAVEL,COM DIAMETRO DE 50MM.FORN ECIMENTO E COLOCACAO" xr:uid="{00000000-0004-0000-3C00-000004000000}"/>
    <hyperlink ref="A2" location="'13.2.11'!A1" display="REGISTRO EM ESFERA,EM PVC,SOLDAVEL,COM DIAMETRO DE 50MM.FORN ECIMENTO E COLOCACAO" xr:uid="{00000000-0004-0000-3C00-000005000000}"/>
    <hyperlink ref="B2" location="'13.2.11'!A1" display="REGISTRO EM ESFERA,EM PVC,SOLDAVEL,COM DIAMETRO DE 50MM.FORN ECIMENTO E COLOCACAO" xr:uid="{00000000-0004-0000-3C00-000006000000}"/>
    <hyperlink ref="C2" location="'13.2.11'!A1" display="REGISTRO EM ESFERA,EM PVC,SOLDAVEL,COM DIAMETRO DE 50MM.FORN ECIMENTO E COLOCACAO" xr:uid="{00000000-0004-0000-3C00-000007000000}"/>
    <hyperlink ref="D2" location="'13.2.11'!A1" display="REGISTRO EM ESFERA,EM PVC,SOLDAVEL,COM DIAMETRO DE 50MM.FORN ECIMENTO E COLOCACAO" xr:uid="{00000000-0004-0000-3C00-000008000000}"/>
    <hyperlink ref="E2" location="'13.2.11'!A1" display="REGISTRO EM ESFERA,EM PVC,SOLDAVEL,COM DIAMETRO DE 50MM.FORN ECIMENTO E COLOCACAO" xr:uid="{00000000-0004-0000-3C00-000009000000}"/>
    <hyperlink ref="A4" location="'13.2.11'!A1" display="Acessórios do tubo (A)" xr:uid="{00000000-0004-0000-3C00-00000A000000}"/>
    <hyperlink ref="B4" location="'13.2.11'!A1" display="Acessórios do tubo (A)" xr:uid="{00000000-0004-0000-3C00-00000B000000}"/>
    <hyperlink ref="C4" location="'13.2.11'!A1" display="Acessórios do tubo (A)" xr:uid="{00000000-0004-0000-3C00-00000C000000}"/>
    <hyperlink ref="D4" location="'13.2.11'!A1" display="Acessórios do tubo (A)" xr:uid="{00000000-0004-0000-3C00-00000D000000}"/>
    <hyperlink ref="E4" location="'13.2.11'!A1" display="Acessórios do tubo (A)" xr:uid="{00000000-0004-0000-3C00-00000E000000}"/>
    <hyperlink ref="A22" location="'13.2.11'!A1" display="REGISTRO EM ESFERA,EM PVC,SOLDAVEL,COM DIAMETRO DE 50MM.FORN ECIMENTO E COLOCACAO" xr:uid="{00000000-0004-0000-3C00-00000F000000}"/>
    <hyperlink ref="B22" location="'13.2.11'!A1" display="REGISTRO EM ESFERA,EM PVC,SOLDAVEL,COM DIAMETRO DE 50MM.FORN ECIMENTO E COLOCACAO" xr:uid="{00000000-0004-0000-3C00-000010000000}"/>
    <hyperlink ref="C22" location="'13.2.11'!A1" display="REGISTRO EM ESFERA,EM PVC,SOLDAVEL,COM DIAMETRO DE 50MM.FORN ECIMENTO E COLOCACAO" xr:uid="{00000000-0004-0000-3C00-000011000000}"/>
    <hyperlink ref="D22" location="'13.2.11'!A1" display="REGISTRO EM ESFERA,EM PVC,SOLDAVEL,COM DIAMETRO DE 50MM.FORN ECIMENTO E COLOCACAO" xr:uid="{00000000-0004-0000-3C00-000012000000}"/>
    <hyperlink ref="E22" location="'13.2.11'!A1" display="REGISTRO EM ESFERA,EM PVC,SOLDAVEL,COM DIAMETRO DE 50MM.FORN ECIMENTO E COLOCACAO" xr:uid="{00000000-0004-0000-3C00-000013000000}"/>
    <hyperlink ref="A23" location="'13.2.11'!A1" display="REGISTRO EM ESFERA,EM PVC,SOLDAVEL,COM DIAMETRO DE 50MM.FORN ECIMENTO E COLOCACAO" xr:uid="{00000000-0004-0000-3C00-000014000000}"/>
    <hyperlink ref="B23" location="'13.2.11'!A1" display="REGISTRO EM ESFERA,EM PVC,SOLDAVEL,COM DIAMETRO DE 50MM.FORN ECIMENTO E COLOCACAO" xr:uid="{00000000-0004-0000-3C00-000015000000}"/>
    <hyperlink ref="C23" location="'13.2.11'!A1" display="REGISTRO EM ESFERA,EM PVC,SOLDAVEL,COM DIAMETRO DE 50MM.FORN ECIMENTO E COLOCACAO" xr:uid="{00000000-0004-0000-3C00-000016000000}"/>
    <hyperlink ref="D23" location="'13.2.11'!A1" display="REGISTRO EM ESFERA,EM PVC,SOLDAVEL,COM DIAMETRO DE 50MM.FORN ECIMENTO E COLOCACAO" xr:uid="{00000000-0004-0000-3C00-000017000000}"/>
    <hyperlink ref="E23" location="'13.2.11'!A1" display="REGISTRO EM ESFERA,EM PVC,SOLDAVEL,COM DIAMETRO DE 50MM.FORN ECIMENTO E COLOCACAO" xr:uid="{00000000-0004-0000-3C00-000018000000}"/>
    <hyperlink ref="A25" location="'13.2.11'!A1" display="Acessórios do tubo (A)" xr:uid="{00000000-0004-0000-3C00-000019000000}"/>
    <hyperlink ref="B25" location="'13.2.11'!A1" display="Acessórios do tubo (A)" xr:uid="{00000000-0004-0000-3C00-00001A000000}"/>
    <hyperlink ref="C25" location="'13.2.11'!A1" display="Acessórios do tubo (A)" xr:uid="{00000000-0004-0000-3C00-00001B000000}"/>
    <hyperlink ref="D25" location="'13.2.11'!A1" display="Acessórios do tubo (A)" xr:uid="{00000000-0004-0000-3C00-00001C000000}"/>
    <hyperlink ref="E25" location="'13.2.11'!A1" display="Acessórios do tubo (A)" xr:uid="{00000000-0004-0000-3C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E26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59</v>
      </c>
      <c r="B1" s="20" t="s">
        <v>59</v>
      </c>
      <c r="C1" s="20" t="s">
        <v>59</v>
      </c>
      <c r="D1" s="20" t="s">
        <v>59</v>
      </c>
      <c r="E1" s="20" t="s">
        <v>59</v>
      </c>
    </row>
    <row r="2" spans="1:5" x14ac:dyDescent="0.25">
      <c r="A2" s="20" t="s">
        <v>59</v>
      </c>
      <c r="B2" s="20" t="s">
        <v>59</v>
      </c>
      <c r="C2" s="20" t="s">
        <v>59</v>
      </c>
      <c r="D2" s="20" t="s">
        <v>59</v>
      </c>
      <c r="E2" s="20" t="s">
        <v>59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253</v>
      </c>
      <c r="D7" s="8" t="s">
        <v>688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253</v>
      </c>
      <c r="D8" s="8" t="s">
        <v>689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253</v>
      </c>
      <c r="D9" s="8" t="s">
        <v>690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253</v>
      </c>
      <c r="D10" s="8" t="s">
        <v>691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253</v>
      </c>
      <c r="D11" s="8" t="s">
        <v>692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253</v>
      </c>
      <c r="D12" s="8" t="s">
        <v>693</v>
      </c>
      <c r="E12" s="8">
        <v>1</v>
      </c>
    </row>
    <row r="13" spans="1:5" x14ac:dyDescent="0.25">
      <c r="A13" s="1" t="s">
        <v>198</v>
      </c>
      <c r="B13" s="1" t="s">
        <v>198</v>
      </c>
      <c r="C13" s="1">
        <f>SUBTOTAL(103,Elements13_2_121[Elemento])</f>
        <v>6</v>
      </c>
      <c r="D13" s="1" t="s">
        <v>198</v>
      </c>
      <c r="E13" s="1">
        <f>SUBTOTAL(109,Elements13_2_121[Totais:])</f>
        <v>6</v>
      </c>
    </row>
    <row r="16" spans="1:5" x14ac:dyDescent="0.25">
      <c r="A16" s="20" t="s">
        <v>59</v>
      </c>
      <c r="B16" s="20" t="s">
        <v>59</v>
      </c>
      <c r="C16" s="20" t="s">
        <v>59</v>
      </c>
      <c r="D16" s="20" t="s">
        <v>59</v>
      </c>
      <c r="E16" s="20" t="s">
        <v>59</v>
      </c>
    </row>
    <row r="17" spans="1:5" x14ac:dyDescent="0.25">
      <c r="A17" s="20" t="s">
        <v>59</v>
      </c>
      <c r="B17" s="20" t="s">
        <v>59</v>
      </c>
      <c r="C17" s="20" t="s">
        <v>59</v>
      </c>
      <c r="D17" s="20" t="s">
        <v>59</v>
      </c>
      <c r="E17" s="20" t="s">
        <v>59</v>
      </c>
    </row>
    <row r="19" spans="1:5" x14ac:dyDescent="0.25">
      <c r="A19" s="15" t="s">
        <v>231</v>
      </c>
      <c r="B19" s="15" t="s">
        <v>231</v>
      </c>
      <c r="C19" s="15" t="s">
        <v>231</v>
      </c>
      <c r="D19" s="15" t="s">
        <v>231</v>
      </c>
      <c r="E19" s="15" t="s">
        <v>231</v>
      </c>
    </row>
    <row r="20" spans="1:5" x14ac:dyDescent="0.25">
      <c r="A20" s="21" t="s">
        <v>198</v>
      </c>
      <c r="B20" s="21" t="s">
        <v>198</v>
      </c>
      <c r="C20" s="21" t="s">
        <v>198</v>
      </c>
      <c r="D20" s="21" t="s">
        <v>198</v>
      </c>
      <c r="E20" s="21" t="s">
        <v>198</v>
      </c>
    </row>
    <row r="21" spans="1:5" x14ac:dyDescent="0.25">
      <c r="A21" s="7" t="s">
        <v>333</v>
      </c>
      <c r="B21" s="7" t="s">
        <v>334</v>
      </c>
      <c r="C21" s="7" t="s">
        <v>335</v>
      </c>
      <c r="D21" s="7" t="s">
        <v>336</v>
      </c>
      <c r="E21" s="7" t="s">
        <v>337</v>
      </c>
    </row>
    <row r="22" spans="1:5" ht="24.75" x14ac:dyDescent="0.25">
      <c r="A22" s="8" t="s">
        <v>338</v>
      </c>
      <c r="B22" s="8" t="s">
        <v>224</v>
      </c>
      <c r="C22" s="8" t="s">
        <v>255</v>
      </c>
      <c r="D22" s="8" t="s">
        <v>694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255</v>
      </c>
      <c r="D23" s="8" t="s">
        <v>695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255</v>
      </c>
      <c r="D24" s="8" t="s">
        <v>696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255</v>
      </c>
      <c r="D25" s="8" t="s">
        <v>697</v>
      </c>
      <c r="E25" s="8">
        <v>1</v>
      </c>
    </row>
    <row r="26" spans="1:5" x14ac:dyDescent="0.25">
      <c r="A26" s="1" t="s">
        <v>198</v>
      </c>
      <c r="B26" s="1" t="s">
        <v>198</v>
      </c>
      <c r="C26" s="1">
        <f>SUBTOTAL(103,Elements13_2_122[Elemento])</f>
        <v>4</v>
      </c>
      <c r="D26" s="1" t="s">
        <v>198</v>
      </c>
      <c r="E26" s="1">
        <f>SUBTOTAL(109,Elements13_2_122[Totais:])</f>
        <v>4</v>
      </c>
    </row>
  </sheetData>
  <mergeCells count="6">
    <mergeCell ref="A20:E20"/>
    <mergeCell ref="A1:E2"/>
    <mergeCell ref="A4:E4"/>
    <mergeCell ref="A5:E5"/>
    <mergeCell ref="A16:E17"/>
    <mergeCell ref="A19:E19"/>
  </mergeCells>
  <hyperlinks>
    <hyperlink ref="A1" location="'13.2.12'!A1" display="REGISTRO DE ESFERA,EM PVC,SOLDAVEL,COM DIAMETRO DE 60MM.FORN ECIMENTO E COLOCACAO" xr:uid="{00000000-0004-0000-3D00-000000000000}"/>
    <hyperlink ref="B1" location="'13.2.12'!A1" display="REGISTRO DE ESFERA,EM PVC,SOLDAVEL,COM DIAMETRO DE 60MM.FORN ECIMENTO E COLOCACAO" xr:uid="{00000000-0004-0000-3D00-000001000000}"/>
    <hyperlink ref="C1" location="'13.2.12'!A1" display="REGISTRO DE ESFERA,EM PVC,SOLDAVEL,COM DIAMETRO DE 60MM.FORN ECIMENTO E COLOCACAO" xr:uid="{00000000-0004-0000-3D00-000002000000}"/>
    <hyperlink ref="D1" location="'13.2.12'!A1" display="REGISTRO DE ESFERA,EM PVC,SOLDAVEL,COM DIAMETRO DE 60MM.FORN ECIMENTO E COLOCACAO" xr:uid="{00000000-0004-0000-3D00-000003000000}"/>
    <hyperlink ref="E1" location="'13.2.12'!A1" display="REGISTRO DE ESFERA,EM PVC,SOLDAVEL,COM DIAMETRO DE 60MM.FORN ECIMENTO E COLOCACAO" xr:uid="{00000000-0004-0000-3D00-000004000000}"/>
    <hyperlink ref="A2" location="'13.2.12'!A1" display="REGISTRO DE ESFERA,EM PVC,SOLDAVEL,COM DIAMETRO DE 60MM.FORN ECIMENTO E COLOCACAO" xr:uid="{00000000-0004-0000-3D00-000005000000}"/>
    <hyperlink ref="B2" location="'13.2.12'!A1" display="REGISTRO DE ESFERA,EM PVC,SOLDAVEL,COM DIAMETRO DE 60MM.FORN ECIMENTO E COLOCACAO" xr:uid="{00000000-0004-0000-3D00-000006000000}"/>
    <hyperlink ref="C2" location="'13.2.12'!A1" display="REGISTRO DE ESFERA,EM PVC,SOLDAVEL,COM DIAMETRO DE 60MM.FORN ECIMENTO E COLOCACAO" xr:uid="{00000000-0004-0000-3D00-000007000000}"/>
    <hyperlink ref="D2" location="'13.2.12'!A1" display="REGISTRO DE ESFERA,EM PVC,SOLDAVEL,COM DIAMETRO DE 60MM.FORN ECIMENTO E COLOCACAO" xr:uid="{00000000-0004-0000-3D00-000008000000}"/>
    <hyperlink ref="E2" location="'13.2.12'!A1" display="REGISTRO DE ESFERA,EM PVC,SOLDAVEL,COM DIAMETRO DE 60MM.FORN ECIMENTO E COLOCACAO" xr:uid="{00000000-0004-0000-3D00-000009000000}"/>
    <hyperlink ref="A4" location="'13.2.12'!A1" display="Acessórios do tubo (A)" xr:uid="{00000000-0004-0000-3D00-00000A000000}"/>
    <hyperlink ref="B4" location="'13.2.12'!A1" display="Acessórios do tubo (A)" xr:uid="{00000000-0004-0000-3D00-00000B000000}"/>
    <hyperlink ref="C4" location="'13.2.12'!A1" display="Acessórios do tubo (A)" xr:uid="{00000000-0004-0000-3D00-00000C000000}"/>
    <hyperlink ref="D4" location="'13.2.12'!A1" display="Acessórios do tubo (A)" xr:uid="{00000000-0004-0000-3D00-00000D000000}"/>
    <hyperlink ref="E4" location="'13.2.12'!A1" display="Acessórios do tubo (A)" xr:uid="{00000000-0004-0000-3D00-00000E000000}"/>
    <hyperlink ref="A16" location="'13.2.12'!A1" display="REGISTRO DE ESFERA,EM PVC,SOLDAVEL,COM DIAMETRO DE 60MM.FORN ECIMENTO E COLOCACAO" xr:uid="{00000000-0004-0000-3D00-00000F000000}"/>
    <hyperlink ref="B16" location="'13.2.12'!A1" display="REGISTRO DE ESFERA,EM PVC,SOLDAVEL,COM DIAMETRO DE 60MM.FORN ECIMENTO E COLOCACAO" xr:uid="{00000000-0004-0000-3D00-000010000000}"/>
    <hyperlink ref="C16" location="'13.2.12'!A1" display="REGISTRO DE ESFERA,EM PVC,SOLDAVEL,COM DIAMETRO DE 60MM.FORN ECIMENTO E COLOCACAO" xr:uid="{00000000-0004-0000-3D00-000011000000}"/>
    <hyperlink ref="D16" location="'13.2.12'!A1" display="REGISTRO DE ESFERA,EM PVC,SOLDAVEL,COM DIAMETRO DE 60MM.FORN ECIMENTO E COLOCACAO" xr:uid="{00000000-0004-0000-3D00-000012000000}"/>
    <hyperlink ref="E16" location="'13.2.12'!A1" display="REGISTRO DE ESFERA,EM PVC,SOLDAVEL,COM DIAMETRO DE 60MM.FORN ECIMENTO E COLOCACAO" xr:uid="{00000000-0004-0000-3D00-000013000000}"/>
    <hyperlink ref="A17" location="'13.2.12'!A1" display="REGISTRO DE ESFERA,EM PVC,SOLDAVEL,COM DIAMETRO DE 60MM.FORN ECIMENTO E COLOCACAO" xr:uid="{00000000-0004-0000-3D00-000014000000}"/>
    <hyperlink ref="B17" location="'13.2.12'!A1" display="REGISTRO DE ESFERA,EM PVC,SOLDAVEL,COM DIAMETRO DE 60MM.FORN ECIMENTO E COLOCACAO" xr:uid="{00000000-0004-0000-3D00-000015000000}"/>
    <hyperlink ref="C17" location="'13.2.12'!A1" display="REGISTRO DE ESFERA,EM PVC,SOLDAVEL,COM DIAMETRO DE 60MM.FORN ECIMENTO E COLOCACAO" xr:uid="{00000000-0004-0000-3D00-000016000000}"/>
    <hyperlink ref="D17" location="'13.2.12'!A1" display="REGISTRO DE ESFERA,EM PVC,SOLDAVEL,COM DIAMETRO DE 60MM.FORN ECIMENTO E COLOCACAO" xr:uid="{00000000-0004-0000-3D00-000017000000}"/>
    <hyperlink ref="E17" location="'13.2.12'!A1" display="REGISTRO DE ESFERA,EM PVC,SOLDAVEL,COM DIAMETRO DE 60MM.FORN ECIMENTO E COLOCACAO" xr:uid="{00000000-0004-0000-3D00-000018000000}"/>
    <hyperlink ref="A19" location="'13.2.12'!A1" display="Acessórios do tubo (A)" xr:uid="{00000000-0004-0000-3D00-000019000000}"/>
    <hyperlink ref="B19" location="'13.2.12'!A1" display="Acessórios do tubo (A)" xr:uid="{00000000-0004-0000-3D00-00001A000000}"/>
    <hyperlink ref="C19" location="'13.2.12'!A1" display="Acessórios do tubo (A)" xr:uid="{00000000-0004-0000-3D00-00001B000000}"/>
    <hyperlink ref="D19" location="'13.2.12'!A1" display="Acessórios do tubo (A)" xr:uid="{00000000-0004-0000-3D00-00001C000000}"/>
    <hyperlink ref="E19" location="'13.2.12'!A1" display="Acessórios do tubo (A)" xr:uid="{00000000-0004-0000-3D00-00001D000000}"/>
  </hyperlink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E25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63</v>
      </c>
      <c r="B1" s="20" t="s">
        <v>63</v>
      </c>
      <c r="C1" s="20" t="s">
        <v>63</v>
      </c>
      <c r="D1" s="20" t="s">
        <v>63</v>
      </c>
      <c r="E1" s="20" t="s">
        <v>63</v>
      </c>
    </row>
    <row r="2" spans="1:5" x14ac:dyDescent="0.25">
      <c r="A2" s="20" t="s">
        <v>63</v>
      </c>
      <c r="B2" s="20" t="s">
        <v>63</v>
      </c>
      <c r="C2" s="20" t="s">
        <v>63</v>
      </c>
      <c r="D2" s="20" t="s">
        <v>63</v>
      </c>
      <c r="E2" s="20" t="s">
        <v>63</v>
      </c>
    </row>
    <row r="4" spans="1:5" x14ac:dyDescent="0.25">
      <c r="A4" s="15" t="s">
        <v>258</v>
      </c>
      <c r="B4" s="15" t="s">
        <v>258</v>
      </c>
      <c r="C4" s="15" t="s">
        <v>258</v>
      </c>
      <c r="D4" s="15" t="s">
        <v>258</v>
      </c>
      <c r="E4" s="15" t="s">
        <v>258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698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699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700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701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702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703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704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705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706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707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708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709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710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711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712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713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714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715</v>
      </c>
      <c r="E24" s="8">
        <v>1</v>
      </c>
    </row>
    <row r="25" spans="1:5" x14ac:dyDescent="0.25">
      <c r="A25" s="1" t="s">
        <v>198</v>
      </c>
      <c r="B25" s="1" t="s">
        <v>198</v>
      </c>
      <c r="C25" s="1">
        <f>SUBTOTAL(103,Elements13_2_131[Elemento])</f>
        <v>18</v>
      </c>
      <c r="D25" s="1" t="s">
        <v>198</v>
      </c>
      <c r="E25" s="1">
        <f>SUBTOTAL(109,Elements13_2_131[Totais:])</f>
        <v>18</v>
      </c>
    </row>
  </sheetData>
  <mergeCells count="3">
    <mergeCell ref="A1:E2"/>
    <mergeCell ref="A4:E4"/>
    <mergeCell ref="A5:E5"/>
  </mergeCells>
  <hyperlinks>
    <hyperlink ref="A1" location="'13.2.13'!A1" display="TE DE REDUCAO 90º SOLDAVEL,COM DIAMETRO DE 50MMX25MM.FORNECI MENTO" xr:uid="{00000000-0004-0000-3E00-000000000000}"/>
    <hyperlink ref="B1" location="'13.2.13'!A1" display="TE DE REDUCAO 90º SOLDAVEL,COM DIAMETRO DE 50MMX25MM.FORNECI MENTO" xr:uid="{00000000-0004-0000-3E00-000001000000}"/>
    <hyperlink ref="C1" location="'13.2.13'!A1" display="TE DE REDUCAO 90º SOLDAVEL,COM DIAMETRO DE 50MMX25MM.FORNECI MENTO" xr:uid="{00000000-0004-0000-3E00-000002000000}"/>
    <hyperlink ref="D1" location="'13.2.13'!A1" display="TE DE REDUCAO 90º SOLDAVEL,COM DIAMETRO DE 50MMX25MM.FORNECI MENTO" xr:uid="{00000000-0004-0000-3E00-000003000000}"/>
    <hyperlink ref="E1" location="'13.2.13'!A1" display="TE DE REDUCAO 90º SOLDAVEL,COM DIAMETRO DE 50MMX25MM.FORNECI MENTO" xr:uid="{00000000-0004-0000-3E00-000004000000}"/>
    <hyperlink ref="A2" location="'13.2.13'!A1" display="TE DE REDUCAO 90º SOLDAVEL,COM DIAMETRO DE 50MMX25MM.FORNECI MENTO" xr:uid="{00000000-0004-0000-3E00-000005000000}"/>
    <hyperlink ref="B2" location="'13.2.13'!A1" display="TE DE REDUCAO 90º SOLDAVEL,COM DIAMETRO DE 50MMX25MM.FORNECI MENTO" xr:uid="{00000000-0004-0000-3E00-000006000000}"/>
    <hyperlink ref="C2" location="'13.2.13'!A1" display="TE DE REDUCAO 90º SOLDAVEL,COM DIAMETRO DE 50MMX25MM.FORNECI MENTO" xr:uid="{00000000-0004-0000-3E00-000007000000}"/>
    <hyperlink ref="D2" location="'13.2.13'!A1" display="TE DE REDUCAO 90º SOLDAVEL,COM DIAMETRO DE 50MMX25MM.FORNECI MENTO" xr:uid="{00000000-0004-0000-3E00-000008000000}"/>
    <hyperlink ref="E2" location="'13.2.13'!A1" display="TE DE REDUCAO 90º SOLDAVEL,COM DIAMETRO DE 50MMX25MM.FORNECI MENTO" xr:uid="{00000000-0004-0000-3E00-000009000000}"/>
    <hyperlink ref="A4" location="'13.2.13'!A1" display="Conexões de tubo" xr:uid="{00000000-0004-0000-3E00-00000A000000}"/>
    <hyperlink ref="B4" location="'13.2.13'!A1" display="Conexões de tubo" xr:uid="{00000000-0004-0000-3E00-00000B000000}"/>
    <hyperlink ref="C4" location="'13.2.13'!A1" display="Conexões de tubo" xr:uid="{00000000-0004-0000-3E00-00000C000000}"/>
    <hyperlink ref="D4" location="'13.2.13'!A1" display="Conexões de tubo" xr:uid="{00000000-0004-0000-3E00-00000D000000}"/>
    <hyperlink ref="E4" location="'13.2.13'!A1" display="Conexões de tubo" xr:uid="{00000000-0004-0000-3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E4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67</v>
      </c>
      <c r="B1" s="20" t="s">
        <v>67</v>
      </c>
      <c r="C1" s="20" t="s">
        <v>67</v>
      </c>
      <c r="D1" s="20" t="s">
        <v>67</v>
      </c>
      <c r="E1" s="20" t="s">
        <v>67</v>
      </c>
    </row>
    <row r="2" spans="1:5" x14ac:dyDescent="0.25">
      <c r="A2" s="20" t="s">
        <v>67</v>
      </c>
      <c r="B2" s="20" t="s">
        <v>67</v>
      </c>
      <c r="C2" s="20" t="s">
        <v>67</v>
      </c>
      <c r="D2" s="20" t="s">
        <v>67</v>
      </c>
      <c r="E2" s="20" t="s">
        <v>67</v>
      </c>
    </row>
    <row r="4" spans="1:5" x14ac:dyDescent="0.25">
      <c r="A4" s="15" t="s">
        <v>258</v>
      </c>
      <c r="B4" s="15" t="s">
        <v>258</v>
      </c>
      <c r="C4" s="15" t="s">
        <v>258</v>
      </c>
      <c r="D4" s="15" t="s">
        <v>258</v>
      </c>
      <c r="E4" s="15" t="s">
        <v>258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716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717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718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719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720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721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722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723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724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725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726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727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728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729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730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731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732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733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205</v>
      </c>
      <c r="D25" s="8" t="s">
        <v>734</v>
      </c>
      <c r="E25" s="8">
        <v>1</v>
      </c>
    </row>
    <row r="26" spans="1:5" ht="24.75" x14ac:dyDescent="0.25">
      <c r="A26" s="8" t="s">
        <v>338</v>
      </c>
      <c r="B26" s="8" t="s">
        <v>224</v>
      </c>
      <c r="C26" s="8" t="s">
        <v>205</v>
      </c>
      <c r="D26" s="8" t="s">
        <v>735</v>
      </c>
      <c r="E26" s="8">
        <v>1</v>
      </c>
    </row>
    <row r="27" spans="1:5" ht="24.75" x14ac:dyDescent="0.25">
      <c r="A27" s="8" t="s">
        <v>338</v>
      </c>
      <c r="B27" s="8" t="s">
        <v>224</v>
      </c>
      <c r="C27" s="8" t="s">
        <v>205</v>
      </c>
      <c r="D27" s="8" t="s">
        <v>736</v>
      </c>
      <c r="E27" s="8">
        <v>1</v>
      </c>
    </row>
    <row r="28" spans="1:5" ht="24.75" x14ac:dyDescent="0.25">
      <c r="A28" s="8" t="s">
        <v>338</v>
      </c>
      <c r="B28" s="8" t="s">
        <v>224</v>
      </c>
      <c r="C28" s="8" t="s">
        <v>205</v>
      </c>
      <c r="D28" s="8" t="s">
        <v>737</v>
      </c>
      <c r="E28" s="8">
        <v>1</v>
      </c>
    </row>
    <row r="29" spans="1:5" ht="24.75" x14ac:dyDescent="0.25">
      <c r="A29" s="8" t="s">
        <v>338</v>
      </c>
      <c r="B29" s="8" t="s">
        <v>224</v>
      </c>
      <c r="C29" s="8" t="s">
        <v>205</v>
      </c>
      <c r="D29" s="8" t="s">
        <v>738</v>
      </c>
      <c r="E29" s="8">
        <v>1</v>
      </c>
    </row>
    <row r="30" spans="1:5" ht="24.75" x14ac:dyDescent="0.25">
      <c r="A30" s="8" t="s">
        <v>338</v>
      </c>
      <c r="B30" s="8" t="s">
        <v>224</v>
      </c>
      <c r="C30" s="8" t="s">
        <v>205</v>
      </c>
      <c r="D30" s="8" t="s">
        <v>739</v>
      </c>
      <c r="E30" s="8">
        <v>1</v>
      </c>
    </row>
    <row r="31" spans="1:5" ht="24.75" x14ac:dyDescent="0.25">
      <c r="A31" s="8" t="s">
        <v>338</v>
      </c>
      <c r="B31" s="8" t="s">
        <v>224</v>
      </c>
      <c r="C31" s="8" t="s">
        <v>205</v>
      </c>
      <c r="D31" s="8" t="s">
        <v>740</v>
      </c>
      <c r="E31" s="8">
        <v>1</v>
      </c>
    </row>
    <row r="32" spans="1:5" ht="24.75" x14ac:dyDescent="0.25">
      <c r="A32" s="8" t="s">
        <v>338</v>
      </c>
      <c r="B32" s="8" t="s">
        <v>224</v>
      </c>
      <c r="C32" s="8" t="s">
        <v>205</v>
      </c>
      <c r="D32" s="8" t="s">
        <v>741</v>
      </c>
      <c r="E32" s="8">
        <v>1</v>
      </c>
    </row>
    <row r="33" spans="1:5" ht="24.75" x14ac:dyDescent="0.25">
      <c r="A33" s="8" t="s">
        <v>338</v>
      </c>
      <c r="B33" s="8" t="s">
        <v>224</v>
      </c>
      <c r="C33" s="8" t="s">
        <v>205</v>
      </c>
      <c r="D33" s="8" t="s">
        <v>742</v>
      </c>
      <c r="E33" s="8">
        <v>1</v>
      </c>
    </row>
    <row r="34" spans="1:5" ht="24.75" x14ac:dyDescent="0.25">
      <c r="A34" s="8" t="s">
        <v>338</v>
      </c>
      <c r="B34" s="8" t="s">
        <v>224</v>
      </c>
      <c r="C34" s="8" t="s">
        <v>205</v>
      </c>
      <c r="D34" s="8" t="s">
        <v>743</v>
      </c>
      <c r="E34" s="8">
        <v>1</v>
      </c>
    </row>
    <row r="35" spans="1:5" ht="24.75" x14ac:dyDescent="0.25">
      <c r="A35" s="8" t="s">
        <v>338</v>
      </c>
      <c r="B35" s="8" t="s">
        <v>224</v>
      </c>
      <c r="C35" s="8" t="s">
        <v>205</v>
      </c>
      <c r="D35" s="8" t="s">
        <v>744</v>
      </c>
      <c r="E35" s="8">
        <v>1</v>
      </c>
    </row>
    <row r="36" spans="1:5" ht="24.75" x14ac:dyDescent="0.25">
      <c r="A36" s="8" t="s">
        <v>338</v>
      </c>
      <c r="B36" s="8" t="s">
        <v>224</v>
      </c>
      <c r="C36" s="8" t="s">
        <v>205</v>
      </c>
      <c r="D36" s="8" t="s">
        <v>745</v>
      </c>
      <c r="E36" s="8">
        <v>1</v>
      </c>
    </row>
    <row r="37" spans="1:5" ht="24.75" x14ac:dyDescent="0.25">
      <c r="A37" s="8" t="s">
        <v>338</v>
      </c>
      <c r="B37" s="8" t="s">
        <v>224</v>
      </c>
      <c r="C37" s="8" t="s">
        <v>205</v>
      </c>
      <c r="D37" s="8" t="s">
        <v>746</v>
      </c>
      <c r="E37" s="8">
        <v>1</v>
      </c>
    </row>
    <row r="38" spans="1:5" ht="24.75" x14ac:dyDescent="0.25">
      <c r="A38" s="8" t="s">
        <v>338</v>
      </c>
      <c r="B38" s="8" t="s">
        <v>224</v>
      </c>
      <c r="C38" s="8" t="s">
        <v>205</v>
      </c>
      <c r="D38" s="8" t="s">
        <v>747</v>
      </c>
      <c r="E38" s="8">
        <v>1</v>
      </c>
    </row>
    <row r="39" spans="1:5" ht="24.75" x14ac:dyDescent="0.25">
      <c r="A39" s="8" t="s">
        <v>338</v>
      </c>
      <c r="B39" s="8" t="s">
        <v>224</v>
      </c>
      <c r="C39" s="8" t="s">
        <v>205</v>
      </c>
      <c r="D39" s="8" t="s">
        <v>748</v>
      </c>
      <c r="E39" s="8">
        <v>1</v>
      </c>
    </row>
    <row r="40" spans="1:5" ht="24.75" x14ac:dyDescent="0.25">
      <c r="A40" s="8" t="s">
        <v>338</v>
      </c>
      <c r="B40" s="8" t="s">
        <v>224</v>
      </c>
      <c r="C40" s="8" t="s">
        <v>205</v>
      </c>
      <c r="D40" s="8" t="s">
        <v>749</v>
      </c>
      <c r="E40" s="8">
        <v>1</v>
      </c>
    </row>
    <row r="41" spans="1:5" x14ac:dyDescent="0.25">
      <c r="A41" s="1" t="s">
        <v>198</v>
      </c>
      <c r="B41" s="1" t="s">
        <v>198</v>
      </c>
      <c r="C41" s="1">
        <f>SUBTOTAL(103,Elements13_2_141[Elemento])</f>
        <v>34</v>
      </c>
      <c r="D41" s="1" t="s">
        <v>198</v>
      </c>
      <c r="E41" s="1">
        <f>SUBTOTAL(109,Elements13_2_141[Totais:])</f>
        <v>34</v>
      </c>
    </row>
  </sheetData>
  <mergeCells count="3">
    <mergeCell ref="A1:E2"/>
    <mergeCell ref="A4:E4"/>
    <mergeCell ref="A5:E5"/>
  </mergeCells>
  <hyperlinks>
    <hyperlink ref="A1" location="'13.2.14'!A1" display="TE SOLDAVEL 90º,COM DIAMETRO DE 25MM.FORNECIMENTO" xr:uid="{00000000-0004-0000-3F00-000000000000}"/>
    <hyperlink ref="B1" location="'13.2.14'!A1" display="TE SOLDAVEL 90º,COM DIAMETRO DE 25MM.FORNECIMENTO" xr:uid="{00000000-0004-0000-3F00-000001000000}"/>
    <hyperlink ref="C1" location="'13.2.14'!A1" display="TE SOLDAVEL 90º,COM DIAMETRO DE 25MM.FORNECIMENTO" xr:uid="{00000000-0004-0000-3F00-000002000000}"/>
    <hyperlink ref="D1" location="'13.2.14'!A1" display="TE SOLDAVEL 90º,COM DIAMETRO DE 25MM.FORNECIMENTO" xr:uid="{00000000-0004-0000-3F00-000003000000}"/>
    <hyperlink ref="E1" location="'13.2.14'!A1" display="TE SOLDAVEL 90º,COM DIAMETRO DE 25MM.FORNECIMENTO" xr:uid="{00000000-0004-0000-3F00-000004000000}"/>
    <hyperlink ref="A2" location="'13.2.14'!A1" display="TE SOLDAVEL 90º,COM DIAMETRO DE 25MM.FORNECIMENTO" xr:uid="{00000000-0004-0000-3F00-000005000000}"/>
    <hyperlink ref="B2" location="'13.2.14'!A1" display="TE SOLDAVEL 90º,COM DIAMETRO DE 25MM.FORNECIMENTO" xr:uid="{00000000-0004-0000-3F00-000006000000}"/>
    <hyperlink ref="C2" location="'13.2.14'!A1" display="TE SOLDAVEL 90º,COM DIAMETRO DE 25MM.FORNECIMENTO" xr:uid="{00000000-0004-0000-3F00-000007000000}"/>
    <hyperlink ref="D2" location="'13.2.14'!A1" display="TE SOLDAVEL 90º,COM DIAMETRO DE 25MM.FORNECIMENTO" xr:uid="{00000000-0004-0000-3F00-000008000000}"/>
    <hyperlink ref="E2" location="'13.2.14'!A1" display="TE SOLDAVEL 90º,COM DIAMETRO DE 25MM.FORNECIMENTO" xr:uid="{00000000-0004-0000-3F00-000009000000}"/>
    <hyperlink ref="A4" location="'13.2.14'!A1" display="Conexões de tubo" xr:uid="{00000000-0004-0000-3F00-00000A000000}"/>
    <hyperlink ref="B4" location="'13.2.14'!A1" display="Conexões de tubo" xr:uid="{00000000-0004-0000-3F00-00000B000000}"/>
    <hyperlink ref="C4" location="'13.2.14'!A1" display="Conexões de tubo" xr:uid="{00000000-0004-0000-3F00-00000C000000}"/>
    <hyperlink ref="D4" location="'13.2.14'!A1" display="Conexões de tubo" xr:uid="{00000000-0004-0000-3F00-00000D000000}"/>
    <hyperlink ref="E4" location="'13.2.14'!A1" display="Conexões de tubo" xr:uid="{00000000-0004-0000-3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E37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71</v>
      </c>
      <c r="B1" s="20" t="s">
        <v>71</v>
      </c>
      <c r="C1" s="20" t="s">
        <v>71</v>
      </c>
      <c r="D1" s="20" t="s">
        <v>71</v>
      </c>
      <c r="E1" s="20" t="s">
        <v>71</v>
      </c>
    </row>
    <row r="2" spans="1:5" x14ac:dyDescent="0.25">
      <c r="A2" s="20" t="s">
        <v>71</v>
      </c>
      <c r="B2" s="20" t="s">
        <v>71</v>
      </c>
      <c r="C2" s="20" t="s">
        <v>71</v>
      </c>
      <c r="D2" s="20" t="s">
        <v>71</v>
      </c>
      <c r="E2" s="20" t="s">
        <v>71</v>
      </c>
    </row>
    <row r="4" spans="1:5" x14ac:dyDescent="0.25">
      <c r="A4" s="15" t="s">
        <v>258</v>
      </c>
      <c r="B4" s="15" t="s">
        <v>258</v>
      </c>
      <c r="C4" s="15" t="s">
        <v>258</v>
      </c>
      <c r="D4" s="15" t="s">
        <v>258</v>
      </c>
      <c r="E4" s="15" t="s">
        <v>258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750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751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752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753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754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755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756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757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758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759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760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761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762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763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764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765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766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767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205</v>
      </c>
      <c r="D25" s="8" t="s">
        <v>768</v>
      </c>
      <c r="E25" s="8">
        <v>1</v>
      </c>
    </row>
    <row r="26" spans="1:5" ht="24.75" x14ac:dyDescent="0.25">
      <c r="A26" s="8" t="s">
        <v>338</v>
      </c>
      <c r="B26" s="8" t="s">
        <v>224</v>
      </c>
      <c r="C26" s="8" t="s">
        <v>205</v>
      </c>
      <c r="D26" s="8" t="s">
        <v>769</v>
      </c>
      <c r="E26" s="8">
        <v>1</v>
      </c>
    </row>
    <row r="27" spans="1:5" ht="24.75" x14ac:dyDescent="0.25">
      <c r="A27" s="8" t="s">
        <v>338</v>
      </c>
      <c r="B27" s="8" t="s">
        <v>224</v>
      </c>
      <c r="C27" s="8" t="s">
        <v>205</v>
      </c>
      <c r="D27" s="8" t="s">
        <v>770</v>
      </c>
      <c r="E27" s="8">
        <v>1</v>
      </c>
    </row>
    <row r="28" spans="1:5" ht="24.75" x14ac:dyDescent="0.25">
      <c r="A28" s="8" t="s">
        <v>338</v>
      </c>
      <c r="B28" s="8" t="s">
        <v>224</v>
      </c>
      <c r="C28" s="8" t="s">
        <v>205</v>
      </c>
      <c r="D28" s="8" t="s">
        <v>771</v>
      </c>
      <c r="E28" s="8">
        <v>1</v>
      </c>
    </row>
    <row r="29" spans="1:5" ht="24.75" x14ac:dyDescent="0.25">
      <c r="A29" s="8" t="s">
        <v>338</v>
      </c>
      <c r="B29" s="8" t="s">
        <v>224</v>
      </c>
      <c r="C29" s="8" t="s">
        <v>205</v>
      </c>
      <c r="D29" s="8" t="s">
        <v>772</v>
      </c>
      <c r="E29" s="8">
        <v>1</v>
      </c>
    </row>
    <row r="30" spans="1:5" ht="24.75" x14ac:dyDescent="0.25">
      <c r="A30" s="8" t="s">
        <v>338</v>
      </c>
      <c r="B30" s="8" t="s">
        <v>224</v>
      </c>
      <c r="C30" s="8" t="s">
        <v>205</v>
      </c>
      <c r="D30" s="8" t="s">
        <v>773</v>
      </c>
      <c r="E30" s="8">
        <v>1</v>
      </c>
    </row>
    <row r="31" spans="1:5" ht="24.75" x14ac:dyDescent="0.25">
      <c r="A31" s="8" t="s">
        <v>338</v>
      </c>
      <c r="B31" s="8" t="s">
        <v>224</v>
      </c>
      <c r="C31" s="8" t="s">
        <v>205</v>
      </c>
      <c r="D31" s="8" t="s">
        <v>774</v>
      </c>
      <c r="E31" s="8">
        <v>1</v>
      </c>
    </row>
    <row r="32" spans="1:5" ht="24.75" x14ac:dyDescent="0.25">
      <c r="A32" s="8" t="s">
        <v>338</v>
      </c>
      <c r="B32" s="8" t="s">
        <v>224</v>
      </c>
      <c r="C32" s="8" t="s">
        <v>205</v>
      </c>
      <c r="D32" s="8" t="s">
        <v>775</v>
      </c>
      <c r="E32" s="8">
        <v>1</v>
      </c>
    </row>
    <row r="33" spans="1:5" ht="24.75" x14ac:dyDescent="0.25">
      <c r="A33" s="8" t="s">
        <v>338</v>
      </c>
      <c r="B33" s="8" t="s">
        <v>224</v>
      </c>
      <c r="C33" s="8" t="s">
        <v>205</v>
      </c>
      <c r="D33" s="8" t="s">
        <v>776</v>
      </c>
      <c r="E33" s="8">
        <v>1</v>
      </c>
    </row>
    <row r="34" spans="1:5" ht="24.75" x14ac:dyDescent="0.25">
      <c r="A34" s="8" t="s">
        <v>338</v>
      </c>
      <c r="B34" s="8" t="s">
        <v>224</v>
      </c>
      <c r="C34" s="8" t="s">
        <v>205</v>
      </c>
      <c r="D34" s="8" t="s">
        <v>777</v>
      </c>
      <c r="E34" s="8">
        <v>1</v>
      </c>
    </row>
    <row r="35" spans="1:5" ht="24.75" x14ac:dyDescent="0.25">
      <c r="A35" s="8" t="s">
        <v>338</v>
      </c>
      <c r="B35" s="8" t="s">
        <v>224</v>
      </c>
      <c r="C35" s="8" t="s">
        <v>205</v>
      </c>
      <c r="D35" s="8" t="s">
        <v>778</v>
      </c>
      <c r="E35" s="8">
        <v>1</v>
      </c>
    </row>
    <row r="36" spans="1:5" ht="24.75" x14ac:dyDescent="0.25">
      <c r="A36" s="8" t="s">
        <v>338</v>
      </c>
      <c r="B36" s="8" t="s">
        <v>224</v>
      </c>
      <c r="C36" s="8" t="s">
        <v>205</v>
      </c>
      <c r="D36" s="8" t="s">
        <v>779</v>
      </c>
      <c r="E36" s="8">
        <v>1</v>
      </c>
    </row>
    <row r="37" spans="1:5" x14ac:dyDescent="0.25">
      <c r="A37" s="1" t="s">
        <v>198</v>
      </c>
      <c r="B37" s="1" t="s">
        <v>198</v>
      </c>
      <c r="C37" s="1">
        <f>SUBTOTAL(103,Elements13_2_151[Elemento])</f>
        <v>30</v>
      </c>
      <c r="D37" s="1" t="s">
        <v>198</v>
      </c>
      <c r="E37" s="1">
        <f>SUBTOTAL(109,Elements13_2_151[Totais:])</f>
        <v>30</v>
      </c>
    </row>
  </sheetData>
  <mergeCells count="3">
    <mergeCell ref="A1:E2"/>
    <mergeCell ref="A4:E4"/>
    <mergeCell ref="A5:E5"/>
  </mergeCells>
  <hyperlinks>
    <hyperlink ref="A1" location="'13.2.15'!A1" display="TE SOLDAVEL 90º,COM DIAMETRO DE 50MM.FORNECIMENTO" xr:uid="{00000000-0004-0000-4000-000000000000}"/>
    <hyperlink ref="B1" location="'13.2.15'!A1" display="TE SOLDAVEL 90º,COM DIAMETRO DE 50MM.FORNECIMENTO" xr:uid="{00000000-0004-0000-4000-000001000000}"/>
    <hyperlink ref="C1" location="'13.2.15'!A1" display="TE SOLDAVEL 90º,COM DIAMETRO DE 50MM.FORNECIMENTO" xr:uid="{00000000-0004-0000-4000-000002000000}"/>
    <hyperlink ref="D1" location="'13.2.15'!A1" display="TE SOLDAVEL 90º,COM DIAMETRO DE 50MM.FORNECIMENTO" xr:uid="{00000000-0004-0000-4000-000003000000}"/>
    <hyperlink ref="E1" location="'13.2.15'!A1" display="TE SOLDAVEL 90º,COM DIAMETRO DE 50MM.FORNECIMENTO" xr:uid="{00000000-0004-0000-4000-000004000000}"/>
    <hyperlink ref="A2" location="'13.2.15'!A1" display="TE SOLDAVEL 90º,COM DIAMETRO DE 50MM.FORNECIMENTO" xr:uid="{00000000-0004-0000-4000-000005000000}"/>
    <hyperlink ref="B2" location="'13.2.15'!A1" display="TE SOLDAVEL 90º,COM DIAMETRO DE 50MM.FORNECIMENTO" xr:uid="{00000000-0004-0000-4000-000006000000}"/>
    <hyperlink ref="C2" location="'13.2.15'!A1" display="TE SOLDAVEL 90º,COM DIAMETRO DE 50MM.FORNECIMENTO" xr:uid="{00000000-0004-0000-4000-000007000000}"/>
    <hyperlink ref="D2" location="'13.2.15'!A1" display="TE SOLDAVEL 90º,COM DIAMETRO DE 50MM.FORNECIMENTO" xr:uid="{00000000-0004-0000-4000-000008000000}"/>
    <hyperlink ref="E2" location="'13.2.15'!A1" display="TE SOLDAVEL 90º,COM DIAMETRO DE 50MM.FORNECIMENTO" xr:uid="{00000000-0004-0000-4000-000009000000}"/>
    <hyperlink ref="A4" location="'13.2.15'!A1" display="Conexões de tubo" xr:uid="{00000000-0004-0000-4000-00000A000000}"/>
    <hyperlink ref="B4" location="'13.2.15'!A1" display="Conexões de tubo" xr:uid="{00000000-0004-0000-4000-00000B000000}"/>
    <hyperlink ref="C4" location="'13.2.15'!A1" display="Conexões de tubo" xr:uid="{00000000-0004-0000-4000-00000C000000}"/>
    <hyperlink ref="D4" location="'13.2.15'!A1" display="Conexões de tubo" xr:uid="{00000000-0004-0000-4000-00000D000000}"/>
    <hyperlink ref="E4" location="'13.2.15'!A1" display="Conexões de tubo" xr:uid="{00000000-0004-0000-4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E26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75</v>
      </c>
      <c r="B1" s="20" t="s">
        <v>75</v>
      </c>
      <c r="C1" s="20" t="s">
        <v>75</v>
      </c>
      <c r="D1" s="20" t="s">
        <v>75</v>
      </c>
      <c r="E1" s="20" t="s">
        <v>75</v>
      </c>
    </row>
    <row r="2" spans="1:5" x14ac:dyDescent="0.25">
      <c r="A2" s="20" t="s">
        <v>75</v>
      </c>
      <c r="B2" s="20" t="s">
        <v>75</v>
      </c>
      <c r="C2" s="20" t="s">
        <v>75</v>
      </c>
      <c r="D2" s="20" t="s">
        <v>75</v>
      </c>
      <c r="E2" s="20" t="s">
        <v>75</v>
      </c>
    </row>
    <row r="4" spans="1:5" x14ac:dyDescent="0.25">
      <c r="A4" s="15" t="s">
        <v>258</v>
      </c>
      <c r="B4" s="15" t="s">
        <v>258</v>
      </c>
      <c r="C4" s="15" t="s">
        <v>258</v>
      </c>
      <c r="D4" s="15" t="s">
        <v>258</v>
      </c>
      <c r="E4" s="15" t="s">
        <v>258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780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781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782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783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784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785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786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787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788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789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790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791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792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793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794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795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796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797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205</v>
      </c>
      <c r="D25" s="8" t="s">
        <v>798</v>
      </c>
      <c r="E25" s="8">
        <v>1</v>
      </c>
    </row>
    <row r="26" spans="1:5" x14ac:dyDescent="0.25">
      <c r="A26" s="1" t="s">
        <v>198</v>
      </c>
      <c r="B26" s="1" t="s">
        <v>198</v>
      </c>
      <c r="C26" s="1">
        <f>SUBTOTAL(103,Elements13_2_161[Elemento])</f>
        <v>19</v>
      </c>
      <c r="D26" s="1" t="s">
        <v>198</v>
      </c>
      <c r="E26" s="1">
        <f>SUBTOTAL(109,Elements13_2_161[Totais:])</f>
        <v>19</v>
      </c>
    </row>
  </sheetData>
  <mergeCells count="3">
    <mergeCell ref="A1:E2"/>
    <mergeCell ref="A4:E4"/>
    <mergeCell ref="A5:E5"/>
  </mergeCells>
  <hyperlinks>
    <hyperlink ref="A1" location="'13.2.16'!A1" display="TE SOLDAVEL 90º,COM DIAMETRO DE 60MM.FORNECIMENTO" xr:uid="{00000000-0004-0000-4100-000000000000}"/>
    <hyperlink ref="B1" location="'13.2.16'!A1" display="TE SOLDAVEL 90º,COM DIAMETRO DE 60MM.FORNECIMENTO" xr:uid="{00000000-0004-0000-4100-000001000000}"/>
    <hyperlink ref="C1" location="'13.2.16'!A1" display="TE SOLDAVEL 90º,COM DIAMETRO DE 60MM.FORNECIMENTO" xr:uid="{00000000-0004-0000-4100-000002000000}"/>
    <hyperlink ref="D1" location="'13.2.16'!A1" display="TE SOLDAVEL 90º,COM DIAMETRO DE 60MM.FORNECIMENTO" xr:uid="{00000000-0004-0000-4100-000003000000}"/>
    <hyperlink ref="E1" location="'13.2.16'!A1" display="TE SOLDAVEL 90º,COM DIAMETRO DE 60MM.FORNECIMENTO" xr:uid="{00000000-0004-0000-4100-000004000000}"/>
    <hyperlink ref="A2" location="'13.2.16'!A1" display="TE SOLDAVEL 90º,COM DIAMETRO DE 60MM.FORNECIMENTO" xr:uid="{00000000-0004-0000-4100-000005000000}"/>
    <hyperlink ref="B2" location="'13.2.16'!A1" display="TE SOLDAVEL 90º,COM DIAMETRO DE 60MM.FORNECIMENTO" xr:uid="{00000000-0004-0000-4100-000006000000}"/>
    <hyperlink ref="C2" location="'13.2.16'!A1" display="TE SOLDAVEL 90º,COM DIAMETRO DE 60MM.FORNECIMENTO" xr:uid="{00000000-0004-0000-4100-000007000000}"/>
    <hyperlink ref="D2" location="'13.2.16'!A1" display="TE SOLDAVEL 90º,COM DIAMETRO DE 60MM.FORNECIMENTO" xr:uid="{00000000-0004-0000-4100-000008000000}"/>
    <hyperlink ref="E2" location="'13.2.16'!A1" display="TE SOLDAVEL 90º,COM DIAMETRO DE 60MM.FORNECIMENTO" xr:uid="{00000000-0004-0000-4100-000009000000}"/>
    <hyperlink ref="A4" location="'13.2.16'!A1" display="Conexões de tubo" xr:uid="{00000000-0004-0000-4100-00000A000000}"/>
    <hyperlink ref="B4" location="'13.2.16'!A1" display="Conexões de tubo" xr:uid="{00000000-0004-0000-4100-00000B000000}"/>
    <hyperlink ref="C4" location="'13.2.16'!A1" display="Conexões de tubo" xr:uid="{00000000-0004-0000-4100-00000C000000}"/>
    <hyperlink ref="D4" location="'13.2.16'!A1" display="Conexões de tubo" xr:uid="{00000000-0004-0000-4100-00000D000000}"/>
    <hyperlink ref="E4" location="'13.2.16'!A1" display="Conexões de tubo" xr:uid="{00000000-0004-0000-4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E1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79</v>
      </c>
      <c r="B1" s="20" t="s">
        <v>79</v>
      </c>
      <c r="C1" s="20" t="s">
        <v>79</v>
      </c>
      <c r="D1" s="20" t="s">
        <v>79</v>
      </c>
      <c r="E1" s="20" t="s">
        <v>79</v>
      </c>
    </row>
    <row r="2" spans="1:5" x14ac:dyDescent="0.25">
      <c r="A2" s="20" t="s">
        <v>79</v>
      </c>
      <c r="B2" s="20" t="s">
        <v>79</v>
      </c>
      <c r="C2" s="20" t="s">
        <v>79</v>
      </c>
      <c r="D2" s="20" t="s">
        <v>79</v>
      </c>
      <c r="E2" s="20" t="s">
        <v>79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799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800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801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802</v>
      </c>
      <c r="E10" s="8">
        <v>1</v>
      </c>
    </row>
    <row r="11" spans="1:5" x14ac:dyDescent="0.25">
      <c r="A11" s="1" t="s">
        <v>198</v>
      </c>
      <c r="B11" s="1" t="s">
        <v>198</v>
      </c>
      <c r="C11" s="1">
        <f>SUBTOTAL(103,Elements13_2_171[Elemento])</f>
        <v>4</v>
      </c>
      <c r="D11" s="1" t="s">
        <v>198</v>
      </c>
      <c r="E11" s="1">
        <f>SUBTOTAL(109,Elements13_2_171[Totais:])</f>
        <v>4</v>
      </c>
    </row>
  </sheetData>
  <mergeCells count="3">
    <mergeCell ref="A1:E2"/>
    <mergeCell ref="A4:E4"/>
    <mergeCell ref="A5:E5"/>
  </mergeCells>
  <hyperlinks>
    <hyperlink ref="A1" location="'13.2.17'!A1" display="TE 90º SOLDAVEL E COM BUCHA DE LATAO NA BOLSA CENTRAL,COM DI AMETRO DE 25MMX25MMX3/4&quot;.FORNECIMENTO" xr:uid="{00000000-0004-0000-4200-000000000000}"/>
    <hyperlink ref="B1" location="'13.2.17'!A1" display="TE 90º SOLDAVEL E COM BUCHA DE LATAO NA BOLSA CENTRAL,COM DI AMETRO DE 25MMX25MMX3/4&quot;.FORNECIMENTO" xr:uid="{00000000-0004-0000-4200-000001000000}"/>
    <hyperlink ref="C1" location="'13.2.17'!A1" display="TE 90º SOLDAVEL E COM BUCHA DE LATAO NA BOLSA CENTRAL,COM DI AMETRO DE 25MMX25MMX3/4&quot;.FORNECIMENTO" xr:uid="{00000000-0004-0000-4200-000002000000}"/>
    <hyperlink ref="D1" location="'13.2.17'!A1" display="TE 90º SOLDAVEL E COM BUCHA DE LATAO NA BOLSA CENTRAL,COM DI AMETRO DE 25MMX25MMX3/4&quot;.FORNECIMENTO" xr:uid="{00000000-0004-0000-4200-000003000000}"/>
    <hyperlink ref="E1" location="'13.2.17'!A1" display="TE 90º SOLDAVEL E COM BUCHA DE LATAO NA BOLSA CENTRAL,COM DI AMETRO DE 25MMX25MMX3/4&quot;.FORNECIMENTO" xr:uid="{00000000-0004-0000-4200-000004000000}"/>
    <hyperlink ref="A2" location="'13.2.17'!A1" display="TE 90º SOLDAVEL E COM BUCHA DE LATAO NA BOLSA CENTRAL,COM DI AMETRO DE 25MMX25MMX3/4&quot;.FORNECIMENTO" xr:uid="{00000000-0004-0000-4200-000005000000}"/>
    <hyperlink ref="B2" location="'13.2.17'!A1" display="TE 90º SOLDAVEL E COM BUCHA DE LATAO NA BOLSA CENTRAL,COM DI AMETRO DE 25MMX25MMX3/4&quot;.FORNECIMENTO" xr:uid="{00000000-0004-0000-4200-000006000000}"/>
    <hyperlink ref="C2" location="'13.2.17'!A1" display="TE 90º SOLDAVEL E COM BUCHA DE LATAO NA BOLSA CENTRAL,COM DI AMETRO DE 25MMX25MMX3/4&quot;.FORNECIMENTO" xr:uid="{00000000-0004-0000-4200-000007000000}"/>
    <hyperlink ref="D2" location="'13.2.17'!A1" display="TE 90º SOLDAVEL E COM BUCHA DE LATAO NA BOLSA CENTRAL,COM DI AMETRO DE 25MMX25MMX3/4&quot;.FORNECIMENTO" xr:uid="{00000000-0004-0000-4200-000008000000}"/>
    <hyperlink ref="E2" location="'13.2.17'!A1" display="TE 90º SOLDAVEL E COM BUCHA DE LATAO NA BOLSA CENTRAL,COM DI AMETRO DE 25MMX25MMX3/4&quot;.FORNECIMENTO" xr:uid="{00000000-0004-0000-4200-000009000000}"/>
    <hyperlink ref="A4" location="'13.2.17'!A1" display="Conexões de tubo (Afastamento)" xr:uid="{00000000-0004-0000-4200-00000A000000}"/>
    <hyperlink ref="B4" location="'13.2.17'!A1" display="Conexões de tubo (Afastamento)" xr:uid="{00000000-0004-0000-4200-00000B000000}"/>
    <hyperlink ref="C4" location="'13.2.17'!A1" display="Conexões de tubo (Afastamento)" xr:uid="{00000000-0004-0000-4200-00000C000000}"/>
    <hyperlink ref="D4" location="'13.2.17'!A1" display="Conexões de tubo (Afastamento)" xr:uid="{00000000-0004-0000-4200-00000D000000}"/>
    <hyperlink ref="E4" location="'13.2.17'!A1" display="Conexões de tubo (Afastamento)" xr:uid="{00000000-0004-0000-4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E10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83</v>
      </c>
      <c r="B1" s="20" t="s">
        <v>83</v>
      </c>
      <c r="C1" s="20" t="s">
        <v>83</v>
      </c>
      <c r="D1" s="20" t="s">
        <v>83</v>
      </c>
      <c r="E1" s="20" t="s">
        <v>83</v>
      </c>
    </row>
    <row r="2" spans="1:5" x14ac:dyDescent="0.25">
      <c r="A2" s="20" t="s">
        <v>83</v>
      </c>
      <c r="B2" s="20" t="s">
        <v>83</v>
      </c>
      <c r="C2" s="20" t="s">
        <v>83</v>
      </c>
      <c r="D2" s="20" t="s">
        <v>83</v>
      </c>
      <c r="E2" s="20" t="s">
        <v>83</v>
      </c>
    </row>
    <row r="4" spans="1:5" x14ac:dyDescent="0.25">
      <c r="A4" s="15" t="s">
        <v>270</v>
      </c>
      <c r="B4" s="15" t="s">
        <v>270</v>
      </c>
      <c r="C4" s="15" t="s">
        <v>270</v>
      </c>
      <c r="D4" s="15" t="s">
        <v>270</v>
      </c>
      <c r="E4" s="15" t="s">
        <v>270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273</v>
      </c>
      <c r="D7" s="8" t="s">
        <v>803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273</v>
      </c>
      <c r="D8" s="8" t="s">
        <v>804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273</v>
      </c>
      <c r="D9" s="8" t="s">
        <v>805</v>
      </c>
      <c r="E9" s="8">
        <v>1</v>
      </c>
    </row>
    <row r="10" spans="1:5" x14ac:dyDescent="0.25">
      <c r="A10" s="1" t="s">
        <v>198</v>
      </c>
      <c r="B10" s="1" t="s">
        <v>198</v>
      </c>
      <c r="C10" s="1">
        <f>SUBTOTAL(103,Elements13_2_181[Elemento])</f>
        <v>3</v>
      </c>
      <c r="D10" s="1" t="s">
        <v>198</v>
      </c>
      <c r="E10" s="1">
        <f>SUBTOTAL(109,Elements13_2_181[Totais:])</f>
        <v>3</v>
      </c>
    </row>
  </sheetData>
  <mergeCells count="3">
    <mergeCell ref="A1:E2"/>
    <mergeCell ref="A4:E4"/>
    <mergeCell ref="A5:E5"/>
  </mergeCells>
  <hyperlinks>
    <hyperlink ref="A1" location="'13.2.18'!A1" display="TORNEIRA DE BOIA EM PLASTICO,PARA CAIXA D'AGUA,DE 1/2&quot;.FORNE CIMENTO E COLOCACAO" xr:uid="{00000000-0004-0000-4300-000000000000}"/>
    <hyperlink ref="B1" location="'13.2.18'!A1" display="TORNEIRA DE BOIA EM PLASTICO,PARA CAIXA D'AGUA,DE 1/2&quot;.FORNE CIMENTO E COLOCACAO" xr:uid="{00000000-0004-0000-4300-000001000000}"/>
    <hyperlink ref="C1" location="'13.2.18'!A1" display="TORNEIRA DE BOIA EM PLASTICO,PARA CAIXA D'AGUA,DE 1/2&quot;.FORNE CIMENTO E COLOCACAO" xr:uid="{00000000-0004-0000-4300-000002000000}"/>
    <hyperlink ref="D1" location="'13.2.18'!A1" display="TORNEIRA DE BOIA EM PLASTICO,PARA CAIXA D'AGUA,DE 1/2&quot;.FORNE CIMENTO E COLOCACAO" xr:uid="{00000000-0004-0000-4300-000003000000}"/>
    <hyperlink ref="E1" location="'13.2.18'!A1" display="TORNEIRA DE BOIA EM PLASTICO,PARA CAIXA D'AGUA,DE 1/2&quot;.FORNE CIMENTO E COLOCACAO" xr:uid="{00000000-0004-0000-4300-000004000000}"/>
    <hyperlink ref="A2" location="'13.2.18'!A1" display="TORNEIRA DE BOIA EM PLASTICO,PARA CAIXA D'AGUA,DE 1/2&quot;.FORNE CIMENTO E COLOCACAO" xr:uid="{00000000-0004-0000-4300-000005000000}"/>
    <hyperlink ref="B2" location="'13.2.18'!A1" display="TORNEIRA DE BOIA EM PLASTICO,PARA CAIXA D'AGUA,DE 1/2&quot;.FORNE CIMENTO E COLOCACAO" xr:uid="{00000000-0004-0000-4300-000006000000}"/>
    <hyperlink ref="C2" location="'13.2.18'!A1" display="TORNEIRA DE BOIA EM PLASTICO,PARA CAIXA D'AGUA,DE 1/2&quot;.FORNE CIMENTO E COLOCACAO" xr:uid="{00000000-0004-0000-4300-000007000000}"/>
    <hyperlink ref="D2" location="'13.2.18'!A1" display="TORNEIRA DE BOIA EM PLASTICO,PARA CAIXA D'AGUA,DE 1/2&quot;.FORNE CIMENTO E COLOCACAO" xr:uid="{00000000-0004-0000-4300-000008000000}"/>
    <hyperlink ref="E2" location="'13.2.18'!A1" display="TORNEIRA DE BOIA EM PLASTICO,PARA CAIXA D'AGUA,DE 1/2&quot;.FORNE CIMENTO E COLOCACAO" xr:uid="{00000000-0004-0000-4300-000009000000}"/>
    <hyperlink ref="A4" location="'13.2.18'!A1" display="Peças hidrossanitárias (Afastamento Adaptador)" xr:uid="{00000000-0004-0000-4300-00000A000000}"/>
    <hyperlink ref="B4" location="'13.2.18'!A1" display="Peças hidrossanitárias (Afastamento Adaptador)" xr:uid="{00000000-0004-0000-4300-00000B000000}"/>
    <hyperlink ref="C4" location="'13.2.18'!A1" display="Peças hidrossanitárias (Afastamento Adaptador)" xr:uid="{00000000-0004-0000-4300-00000C000000}"/>
    <hyperlink ref="D4" location="'13.2.18'!A1" display="Peças hidrossanitárias (Afastamento Adaptador)" xr:uid="{00000000-0004-0000-4300-00000D000000}"/>
    <hyperlink ref="E4" location="'13.2.18'!A1" display="Peças hidrossanitárias (Afastamento Adaptador)" xr:uid="{00000000-0004-0000-4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E25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87</v>
      </c>
      <c r="B1" s="20" t="s">
        <v>87</v>
      </c>
      <c r="C1" s="20" t="s">
        <v>87</v>
      </c>
      <c r="D1" s="20" t="s">
        <v>87</v>
      </c>
      <c r="E1" s="20" t="s">
        <v>87</v>
      </c>
    </row>
    <row r="2" spans="1:5" x14ac:dyDescent="0.25">
      <c r="A2" s="20" t="s">
        <v>87</v>
      </c>
      <c r="B2" s="20" t="s">
        <v>87</v>
      </c>
      <c r="C2" s="20" t="s">
        <v>87</v>
      </c>
      <c r="D2" s="20" t="s">
        <v>87</v>
      </c>
      <c r="E2" s="20" t="s">
        <v>87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806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807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808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809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810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811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812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813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814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815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816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817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818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819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820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821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822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823</v>
      </c>
      <c r="E24" s="8">
        <v>1</v>
      </c>
    </row>
    <row r="25" spans="1:5" x14ac:dyDescent="0.25">
      <c r="A25" s="1" t="s">
        <v>198</v>
      </c>
      <c r="B25" s="1" t="s">
        <v>198</v>
      </c>
      <c r="C25" s="1">
        <f>SUBTOTAL(103,Elements13_2_191[Elemento])</f>
        <v>18</v>
      </c>
      <c r="D25" s="1" t="s">
        <v>198</v>
      </c>
      <c r="E25" s="1">
        <f>SUBTOTAL(109,Elements13_2_191[Totais:])</f>
        <v>18</v>
      </c>
    </row>
  </sheetData>
  <mergeCells count="3">
    <mergeCell ref="A1:E2"/>
    <mergeCell ref="A4:E4"/>
    <mergeCell ref="A5:E5"/>
  </mergeCells>
  <hyperlinks>
    <hyperlink ref="A1" location="'13.2.19'!A1" display="ADAPTADOR SOLDAVEL COM FLANGES E ANEL DE VEDACAO PARA CAIXA D'AGUA,COM DIAMETRO DE 50MMX1.1/2&quot;.FORNECIMENTO" xr:uid="{00000000-0004-0000-4400-000000000000}"/>
    <hyperlink ref="B1" location="'13.2.19'!A1" display="ADAPTADOR SOLDAVEL COM FLANGES E ANEL DE VEDACAO PARA CAIXA D'AGUA,COM DIAMETRO DE 50MMX1.1/2&quot;.FORNECIMENTO" xr:uid="{00000000-0004-0000-4400-000001000000}"/>
    <hyperlink ref="C1" location="'13.2.19'!A1" display="ADAPTADOR SOLDAVEL COM FLANGES E ANEL DE VEDACAO PARA CAIXA D'AGUA,COM DIAMETRO DE 50MMX1.1/2&quot;.FORNECIMENTO" xr:uid="{00000000-0004-0000-4400-000002000000}"/>
    <hyperlink ref="D1" location="'13.2.19'!A1" display="ADAPTADOR SOLDAVEL COM FLANGES E ANEL DE VEDACAO PARA CAIXA D'AGUA,COM DIAMETRO DE 50MMX1.1/2&quot;.FORNECIMENTO" xr:uid="{00000000-0004-0000-4400-000003000000}"/>
    <hyperlink ref="E1" location="'13.2.19'!A1" display="ADAPTADOR SOLDAVEL COM FLANGES E ANEL DE VEDACAO PARA CAIXA D'AGUA,COM DIAMETRO DE 50MMX1.1/2&quot;.FORNECIMENTO" xr:uid="{00000000-0004-0000-4400-000004000000}"/>
    <hyperlink ref="A2" location="'13.2.19'!A1" display="ADAPTADOR SOLDAVEL COM FLANGES E ANEL DE VEDACAO PARA CAIXA D'AGUA,COM DIAMETRO DE 50MMX1.1/2&quot;.FORNECIMENTO" xr:uid="{00000000-0004-0000-4400-000005000000}"/>
    <hyperlink ref="B2" location="'13.2.19'!A1" display="ADAPTADOR SOLDAVEL COM FLANGES E ANEL DE VEDACAO PARA CAIXA D'AGUA,COM DIAMETRO DE 50MMX1.1/2&quot;.FORNECIMENTO" xr:uid="{00000000-0004-0000-4400-000006000000}"/>
    <hyperlink ref="C2" location="'13.2.19'!A1" display="ADAPTADOR SOLDAVEL COM FLANGES E ANEL DE VEDACAO PARA CAIXA D'AGUA,COM DIAMETRO DE 50MMX1.1/2&quot;.FORNECIMENTO" xr:uid="{00000000-0004-0000-4400-000007000000}"/>
    <hyperlink ref="D2" location="'13.2.19'!A1" display="ADAPTADOR SOLDAVEL COM FLANGES E ANEL DE VEDACAO PARA CAIXA D'AGUA,COM DIAMETRO DE 50MMX1.1/2&quot;.FORNECIMENTO" xr:uid="{00000000-0004-0000-4400-000008000000}"/>
    <hyperlink ref="E2" location="'13.2.19'!A1" display="ADAPTADOR SOLDAVEL COM FLANGES E ANEL DE VEDACAO PARA CAIXA D'AGUA,COM DIAMETRO DE 50MMX1.1/2&quot;.FORNECIMENTO" xr:uid="{00000000-0004-0000-4400-000009000000}"/>
    <hyperlink ref="A4" location="'13.2.19'!A1" display="Conexões de tubo (Afastamento)" xr:uid="{00000000-0004-0000-4400-00000A000000}"/>
    <hyperlink ref="B4" location="'13.2.19'!A1" display="Conexões de tubo (Afastamento)" xr:uid="{00000000-0004-0000-4400-00000B000000}"/>
    <hyperlink ref="C4" location="'13.2.19'!A1" display="Conexões de tubo (Afastamento)" xr:uid="{00000000-0004-0000-4400-00000C000000}"/>
    <hyperlink ref="D4" location="'13.2.19'!A1" display="Conexões de tubo (Afastamento)" xr:uid="{00000000-0004-0000-4400-00000D000000}"/>
    <hyperlink ref="E4" location="'13.2.19'!A1" display="Conexões de tubo (Afastamento)" xr:uid="{00000000-0004-0000-4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DFF0D8"/>
  </sheetPr>
  <dimension ref="A1:I28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30</v>
      </c>
      <c r="B2" s="5" t="s">
        <v>31</v>
      </c>
      <c r="C2" s="5" t="s">
        <v>32</v>
      </c>
      <c r="D2" s="5" t="s">
        <v>33</v>
      </c>
      <c r="E2" s="5" t="s">
        <v>16</v>
      </c>
      <c r="F2" s="5" t="s">
        <v>227</v>
      </c>
      <c r="G2" s="5">
        <v>13.02531269514</v>
      </c>
      <c r="H2" s="5">
        <v>15.610837265125292</v>
      </c>
      <c r="I2" s="5">
        <v>187.33004718150352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12</v>
      </c>
      <c r="D8" s="8" t="s">
        <v>197</v>
      </c>
      <c r="E8" s="8">
        <v>12</v>
      </c>
    </row>
    <row r="9" spans="1:9" x14ac:dyDescent="0.25">
      <c r="A9" s="8" t="s">
        <v>198</v>
      </c>
      <c r="B9" s="8" t="s">
        <v>198</v>
      </c>
      <c r="C9" s="8">
        <f>SUBTOTAL(109,Criteria_Summary13.2.5[Elementos])</f>
        <v>12</v>
      </c>
      <c r="D9" s="8" t="s">
        <v>198</v>
      </c>
      <c r="E9" s="8">
        <f>SUBTOTAL(109,Criteria_Summary13.2.5[Total])</f>
        <v>12</v>
      </c>
    </row>
    <row r="10" spans="1:9" x14ac:dyDescent="0.25">
      <c r="A10" s="9" t="s">
        <v>199</v>
      </c>
      <c r="B10" s="9">
        <v>0</v>
      </c>
      <c r="C10" s="10"/>
      <c r="D10" s="10"/>
      <c r="E10" s="9">
        <v>12</v>
      </c>
    </row>
    <row r="13" spans="1:9" x14ac:dyDescent="0.25">
      <c r="A13" s="15" t="s">
        <v>197</v>
      </c>
      <c r="B13" s="15" t="s">
        <v>197</v>
      </c>
      <c r="C13" s="15" t="s">
        <v>197</v>
      </c>
      <c r="D13" s="15" t="s">
        <v>197</v>
      </c>
      <c r="E13" s="15" t="s">
        <v>197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12</v>
      </c>
      <c r="C16" s="18" t="s">
        <v>201</v>
      </c>
      <c r="D16" s="18" t="s">
        <v>201</v>
      </c>
      <c r="E16" s="8">
        <v>12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228</v>
      </c>
      <c r="B24" s="18" t="s">
        <v>228</v>
      </c>
      <c r="C24" s="18" t="s">
        <v>228</v>
      </c>
      <c r="D24" s="8" t="s">
        <v>205</v>
      </c>
      <c r="E24" s="8" t="s">
        <v>206</v>
      </c>
    </row>
    <row r="26" spans="1:5" x14ac:dyDescent="0.25">
      <c r="A26" s="19" t="s">
        <v>207</v>
      </c>
      <c r="B26" s="19" t="s">
        <v>207</v>
      </c>
      <c r="C26" s="19" t="s">
        <v>207</v>
      </c>
      <c r="D26" s="19" t="s">
        <v>207</v>
      </c>
      <c r="E26" s="19" t="s">
        <v>207</v>
      </c>
    </row>
    <row r="27" spans="1:5" x14ac:dyDescent="0.25">
      <c r="A27" s="11" t="s">
        <v>193</v>
      </c>
      <c r="B27" s="11" t="s">
        <v>208</v>
      </c>
      <c r="C27" s="11" t="s">
        <v>209</v>
      </c>
      <c r="D27" s="11" t="s">
        <v>210</v>
      </c>
      <c r="E27" s="11"/>
    </row>
    <row r="28" spans="1:5" ht="72.75" x14ac:dyDescent="0.25">
      <c r="A28" s="8" t="s">
        <v>211</v>
      </c>
      <c r="B28" s="8" t="s">
        <v>212</v>
      </c>
      <c r="C28" s="8" t="s">
        <v>229</v>
      </c>
      <c r="D28" s="8" t="s">
        <v>214</v>
      </c>
      <c r="E28" s="8" t="s">
        <v>215</v>
      </c>
    </row>
  </sheetData>
  <mergeCells count="12">
    <mergeCell ref="A24:C24"/>
    <mergeCell ref="A26:E26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5" xr:uid="{00000000-0004-0000-0600-000000000000}"/>
    <hyperlink ref="F2" location="'13.2.5E'!A1" display="12" xr:uid="{00000000-0004-0000-0600-000001000000}"/>
    <hyperlink ref="E10" location="'13.2.5E'!A1" display="'13.2.5E'!A1" xr:uid="{00000000-0004-0000-06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E406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90</v>
      </c>
      <c r="B1" s="20" t="s">
        <v>90</v>
      </c>
      <c r="C1" s="20" t="s">
        <v>90</v>
      </c>
      <c r="D1" s="20" t="s">
        <v>90</v>
      </c>
      <c r="E1" s="20" t="s">
        <v>90</v>
      </c>
    </row>
    <row r="2" spans="1:5" x14ac:dyDescent="0.25">
      <c r="A2" s="20" t="s">
        <v>90</v>
      </c>
      <c r="B2" s="20" t="s">
        <v>90</v>
      </c>
      <c r="C2" s="20" t="s">
        <v>90</v>
      </c>
      <c r="D2" s="20" t="s">
        <v>90</v>
      </c>
      <c r="E2" s="20" t="s">
        <v>90</v>
      </c>
    </row>
    <row r="4" spans="1:5" x14ac:dyDescent="0.25">
      <c r="A4" s="15" t="s">
        <v>277</v>
      </c>
      <c r="B4" s="15" t="s">
        <v>277</v>
      </c>
      <c r="C4" s="15" t="s">
        <v>277</v>
      </c>
      <c r="D4" s="15" t="s">
        <v>277</v>
      </c>
      <c r="E4" s="15" t="s">
        <v>277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284</v>
      </c>
      <c r="D7" s="8" t="s">
        <v>824</v>
      </c>
      <c r="E7" s="8">
        <v>0.96594532470182781</v>
      </c>
    </row>
    <row r="8" spans="1:5" ht="24.75" x14ac:dyDescent="0.25">
      <c r="A8" s="8" t="s">
        <v>338</v>
      </c>
      <c r="B8" s="8" t="s">
        <v>224</v>
      </c>
      <c r="C8" s="8" t="s">
        <v>284</v>
      </c>
      <c r="D8" s="8" t="s">
        <v>825</v>
      </c>
      <c r="E8" s="8">
        <v>0.19949999999999904</v>
      </c>
    </row>
    <row r="9" spans="1:5" ht="24.75" x14ac:dyDescent="0.25">
      <c r="A9" s="8" t="s">
        <v>338</v>
      </c>
      <c r="B9" s="8" t="s">
        <v>224</v>
      </c>
      <c r="C9" s="8" t="s">
        <v>284</v>
      </c>
      <c r="D9" s="8" t="s">
        <v>826</v>
      </c>
      <c r="E9" s="8">
        <v>0.4963906079765556</v>
      </c>
    </row>
    <row r="10" spans="1:5" ht="24.75" x14ac:dyDescent="0.25">
      <c r="A10" s="8" t="s">
        <v>338</v>
      </c>
      <c r="B10" s="8" t="s">
        <v>224</v>
      </c>
      <c r="C10" s="8" t="s">
        <v>284</v>
      </c>
      <c r="D10" s="8" t="s">
        <v>827</v>
      </c>
      <c r="E10" s="8">
        <v>0.3660001836313585</v>
      </c>
    </row>
    <row r="11" spans="1:5" ht="24.75" x14ac:dyDescent="0.25">
      <c r="A11" s="8" t="s">
        <v>338</v>
      </c>
      <c r="B11" s="8" t="s">
        <v>224</v>
      </c>
      <c r="C11" s="8" t="s">
        <v>284</v>
      </c>
      <c r="D11" s="8" t="s">
        <v>828</v>
      </c>
      <c r="E11" s="8">
        <v>2.3653356830706542</v>
      </c>
    </row>
    <row r="12" spans="1:5" ht="24.75" x14ac:dyDescent="0.25">
      <c r="A12" s="8" t="s">
        <v>338</v>
      </c>
      <c r="B12" s="8" t="s">
        <v>224</v>
      </c>
      <c r="C12" s="8" t="s">
        <v>284</v>
      </c>
      <c r="D12" s="8" t="s">
        <v>829</v>
      </c>
      <c r="E12" s="8">
        <v>0.15537190153937389</v>
      </c>
    </row>
    <row r="13" spans="1:5" ht="24.75" x14ac:dyDescent="0.25">
      <c r="A13" s="8" t="s">
        <v>338</v>
      </c>
      <c r="B13" s="8" t="s">
        <v>224</v>
      </c>
      <c r="C13" s="8" t="s">
        <v>284</v>
      </c>
      <c r="D13" s="8" t="s">
        <v>830</v>
      </c>
      <c r="E13" s="8">
        <v>5.0517676482422808E-2</v>
      </c>
    </row>
    <row r="14" spans="1:5" ht="24.75" x14ac:dyDescent="0.25">
      <c r="A14" s="8" t="s">
        <v>338</v>
      </c>
      <c r="B14" s="8" t="s">
        <v>224</v>
      </c>
      <c r="C14" s="8" t="s">
        <v>284</v>
      </c>
      <c r="D14" s="8" t="s">
        <v>831</v>
      </c>
      <c r="E14" s="8">
        <v>0.68460506209812499</v>
      </c>
    </row>
    <row r="15" spans="1:5" ht="24.75" x14ac:dyDescent="0.25">
      <c r="A15" s="8" t="s">
        <v>338</v>
      </c>
      <c r="B15" s="8" t="s">
        <v>224</v>
      </c>
      <c r="C15" s="8" t="s">
        <v>284</v>
      </c>
      <c r="D15" s="8" t="s">
        <v>832</v>
      </c>
      <c r="E15" s="8">
        <v>5.3009999999999426E-2</v>
      </c>
    </row>
    <row r="16" spans="1:5" ht="24.75" x14ac:dyDescent="0.25">
      <c r="A16" s="8" t="s">
        <v>338</v>
      </c>
      <c r="B16" s="8" t="s">
        <v>224</v>
      </c>
      <c r="C16" s="8" t="s">
        <v>284</v>
      </c>
      <c r="D16" s="8" t="s">
        <v>833</v>
      </c>
      <c r="E16" s="8">
        <v>0.13136000000000003</v>
      </c>
    </row>
    <row r="17" spans="1:5" ht="24.75" x14ac:dyDescent="0.25">
      <c r="A17" s="8" t="s">
        <v>338</v>
      </c>
      <c r="B17" s="8" t="s">
        <v>224</v>
      </c>
      <c r="C17" s="8" t="s">
        <v>284</v>
      </c>
      <c r="D17" s="8" t="s">
        <v>834</v>
      </c>
      <c r="E17" s="8">
        <v>0.31947583717958045</v>
      </c>
    </row>
    <row r="18" spans="1:5" ht="24.75" x14ac:dyDescent="0.25">
      <c r="A18" s="8" t="s">
        <v>338</v>
      </c>
      <c r="B18" s="8" t="s">
        <v>224</v>
      </c>
      <c r="C18" s="8" t="s">
        <v>284</v>
      </c>
      <c r="D18" s="8" t="s">
        <v>835</v>
      </c>
      <c r="E18" s="8">
        <v>1.5220866235091439</v>
      </c>
    </row>
    <row r="19" spans="1:5" ht="24.75" x14ac:dyDescent="0.25">
      <c r="A19" s="8" t="s">
        <v>338</v>
      </c>
      <c r="B19" s="8" t="s">
        <v>224</v>
      </c>
      <c r="C19" s="8" t="s">
        <v>284</v>
      </c>
      <c r="D19" s="8" t="s">
        <v>836</v>
      </c>
      <c r="E19" s="8">
        <v>4.0849999999999921E-2</v>
      </c>
    </row>
    <row r="20" spans="1:5" ht="24.75" x14ac:dyDescent="0.25">
      <c r="A20" s="8" t="s">
        <v>338</v>
      </c>
      <c r="B20" s="8" t="s">
        <v>224</v>
      </c>
      <c r="C20" s="8" t="s">
        <v>284</v>
      </c>
      <c r="D20" s="8" t="s">
        <v>837</v>
      </c>
      <c r="E20" s="8">
        <v>4.3799999999998708E-2</v>
      </c>
    </row>
    <row r="21" spans="1:5" ht="24.75" x14ac:dyDescent="0.25">
      <c r="A21" s="8" t="s">
        <v>338</v>
      </c>
      <c r="B21" s="8" t="s">
        <v>224</v>
      </c>
      <c r="C21" s="8" t="s">
        <v>284</v>
      </c>
      <c r="D21" s="8" t="s">
        <v>838</v>
      </c>
      <c r="E21" s="8">
        <v>4.8349999999999838E-2</v>
      </c>
    </row>
    <row r="22" spans="1:5" ht="24.75" x14ac:dyDescent="0.25">
      <c r="A22" s="8" t="s">
        <v>338</v>
      </c>
      <c r="B22" s="8" t="s">
        <v>224</v>
      </c>
      <c r="C22" s="8" t="s">
        <v>284</v>
      </c>
      <c r="D22" s="8" t="s">
        <v>839</v>
      </c>
      <c r="E22" s="8">
        <v>4.5849999999999863E-2</v>
      </c>
    </row>
    <row r="23" spans="1:5" ht="24.75" x14ac:dyDescent="0.25">
      <c r="A23" s="8" t="s">
        <v>338</v>
      </c>
      <c r="B23" s="8" t="s">
        <v>224</v>
      </c>
      <c r="C23" s="8" t="s">
        <v>284</v>
      </c>
      <c r="D23" s="8" t="s">
        <v>840</v>
      </c>
      <c r="E23" s="8">
        <v>7.9132453247018413</v>
      </c>
    </row>
    <row r="24" spans="1:5" ht="24.75" x14ac:dyDescent="0.25">
      <c r="A24" s="8" t="s">
        <v>338</v>
      </c>
      <c r="B24" s="8" t="s">
        <v>224</v>
      </c>
      <c r="C24" s="8" t="s">
        <v>284</v>
      </c>
      <c r="D24" s="8" t="s">
        <v>841</v>
      </c>
      <c r="E24" s="8">
        <v>0.59262520453333256</v>
      </c>
    </row>
    <row r="25" spans="1:5" ht="24.75" x14ac:dyDescent="0.25">
      <c r="A25" s="8" t="s">
        <v>338</v>
      </c>
      <c r="B25" s="8" t="s">
        <v>224</v>
      </c>
      <c r="C25" s="8" t="s">
        <v>284</v>
      </c>
      <c r="D25" s="8" t="s">
        <v>842</v>
      </c>
      <c r="E25" s="8">
        <v>4.9727584616715552E-2</v>
      </c>
    </row>
    <row r="26" spans="1:5" ht="24.75" x14ac:dyDescent="0.25">
      <c r="A26" s="8" t="s">
        <v>338</v>
      </c>
      <c r="B26" s="8" t="s">
        <v>224</v>
      </c>
      <c r="C26" s="8" t="s">
        <v>284</v>
      </c>
      <c r="D26" s="8" t="s">
        <v>843</v>
      </c>
      <c r="E26" s="8">
        <v>0.24502940286729136</v>
      </c>
    </row>
    <row r="27" spans="1:5" ht="24.75" x14ac:dyDescent="0.25">
      <c r="A27" s="8" t="s">
        <v>338</v>
      </c>
      <c r="B27" s="8" t="s">
        <v>224</v>
      </c>
      <c r="C27" s="8" t="s">
        <v>284</v>
      </c>
      <c r="D27" s="8" t="s">
        <v>844</v>
      </c>
      <c r="E27" s="8">
        <v>0.25053193292487519</v>
      </c>
    </row>
    <row r="28" spans="1:5" ht="24.75" x14ac:dyDescent="0.25">
      <c r="A28" s="8" t="s">
        <v>338</v>
      </c>
      <c r="B28" s="8" t="s">
        <v>224</v>
      </c>
      <c r="C28" s="8" t="s">
        <v>284</v>
      </c>
      <c r="D28" s="8" t="s">
        <v>845</v>
      </c>
      <c r="E28" s="8">
        <v>2.4817522923030508</v>
      </c>
    </row>
    <row r="29" spans="1:5" ht="24.75" x14ac:dyDescent="0.25">
      <c r="A29" s="8" t="s">
        <v>338</v>
      </c>
      <c r="B29" s="8" t="s">
        <v>224</v>
      </c>
      <c r="C29" s="8" t="s">
        <v>284</v>
      </c>
      <c r="D29" s="8" t="s">
        <v>846</v>
      </c>
      <c r="E29" s="8">
        <v>0.84707390788204995</v>
      </c>
    </row>
    <row r="30" spans="1:5" ht="24.75" x14ac:dyDescent="0.25">
      <c r="A30" s="8" t="s">
        <v>338</v>
      </c>
      <c r="B30" s="8" t="s">
        <v>224</v>
      </c>
      <c r="C30" s="8" t="s">
        <v>284</v>
      </c>
      <c r="D30" s="8" t="s">
        <v>847</v>
      </c>
      <c r="E30" s="8">
        <v>1.02441712595928</v>
      </c>
    </row>
    <row r="31" spans="1:5" ht="24.75" x14ac:dyDescent="0.25">
      <c r="A31" s="8" t="s">
        <v>338</v>
      </c>
      <c r="B31" s="8" t="s">
        <v>224</v>
      </c>
      <c r="C31" s="8" t="s">
        <v>284</v>
      </c>
      <c r="D31" s="8" t="s">
        <v>848</v>
      </c>
      <c r="E31" s="8">
        <v>1.2861343881689538</v>
      </c>
    </row>
    <row r="32" spans="1:5" ht="24.75" x14ac:dyDescent="0.25">
      <c r="A32" s="8" t="s">
        <v>338</v>
      </c>
      <c r="B32" s="8" t="s">
        <v>224</v>
      </c>
      <c r="C32" s="8" t="s">
        <v>284</v>
      </c>
      <c r="D32" s="8" t="s">
        <v>849</v>
      </c>
      <c r="E32" s="8">
        <v>1.8515646613695833</v>
      </c>
    </row>
    <row r="33" spans="1:5" ht="24.75" x14ac:dyDescent="0.25">
      <c r="A33" s="8" t="s">
        <v>338</v>
      </c>
      <c r="B33" s="8" t="s">
        <v>224</v>
      </c>
      <c r="C33" s="8" t="s">
        <v>284</v>
      </c>
      <c r="D33" s="8" t="s">
        <v>850</v>
      </c>
      <c r="E33" s="8">
        <v>0.11179997529372214</v>
      </c>
    </row>
    <row r="34" spans="1:5" ht="24.75" x14ac:dyDescent="0.25">
      <c r="A34" s="8" t="s">
        <v>338</v>
      </c>
      <c r="B34" s="8" t="s">
        <v>224</v>
      </c>
      <c r="C34" s="8" t="s">
        <v>284</v>
      </c>
      <c r="D34" s="8" t="s">
        <v>851</v>
      </c>
      <c r="E34" s="8">
        <v>0.46453704312662986</v>
      </c>
    </row>
    <row r="35" spans="1:5" ht="24.75" x14ac:dyDescent="0.25">
      <c r="A35" s="8" t="s">
        <v>338</v>
      </c>
      <c r="B35" s="8" t="s">
        <v>224</v>
      </c>
      <c r="C35" s="8" t="s">
        <v>284</v>
      </c>
      <c r="D35" s="8" t="s">
        <v>852</v>
      </c>
      <c r="E35" s="8">
        <v>0.20738983219600537</v>
      </c>
    </row>
    <row r="36" spans="1:5" ht="24.75" x14ac:dyDescent="0.25">
      <c r="A36" s="8" t="s">
        <v>338</v>
      </c>
      <c r="B36" s="8" t="s">
        <v>224</v>
      </c>
      <c r="C36" s="8" t="s">
        <v>284</v>
      </c>
      <c r="D36" s="8" t="s">
        <v>853</v>
      </c>
      <c r="E36" s="8">
        <v>0.76569745577347503</v>
      </c>
    </row>
    <row r="37" spans="1:5" ht="24.75" x14ac:dyDescent="0.25">
      <c r="A37" s="8" t="s">
        <v>338</v>
      </c>
      <c r="B37" s="8" t="s">
        <v>224</v>
      </c>
      <c r="C37" s="8" t="s">
        <v>284</v>
      </c>
      <c r="D37" s="8" t="s">
        <v>854</v>
      </c>
      <c r="E37" s="8">
        <v>2.9243514861184789</v>
      </c>
    </row>
    <row r="38" spans="1:5" ht="24.75" x14ac:dyDescent="0.25">
      <c r="A38" s="8" t="s">
        <v>338</v>
      </c>
      <c r="B38" s="8" t="s">
        <v>224</v>
      </c>
      <c r="C38" s="8" t="s">
        <v>284</v>
      </c>
      <c r="D38" s="8" t="s">
        <v>855</v>
      </c>
      <c r="E38" s="8">
        <v>0.79267135496124386</v>
      </c>
    </row>
    <row r="39" spans="1:5" ht="24.75" x14ac:dyDescent="0.25">
      <c r="A39" s="8" t="s">
        <v>338</v>
      </c>
      <c r="B39" s="8" t="s">
        <v>224</v>
      </c>
      <c r="C39" s="8" t="s">
        <v>284</v>
      </c>
      <c r="D39" s="8" t="s">
        <v>856</v>
      </c>
      <c r="E39" s="8">
        <v>3.6654201678039682</v>
      </c>
    </row>
    <row r="40" spans="1:5" ht="24.75" x14ac:dyDescent="0.25">
      <c r="A40" s="8" t="s">
        <v>338</v>
      </c>
      <c r="B40" s="8" t="s">
        <v>224</v>
      </c>
      <c r="C40" s="8" t="s">
        <v>284</v>
      </c>
      <c r="D40" s="8" t="s">
        <v>857</v>
      </c>
      <c r="E40" s="8">
        <v>0.24020608048276249</v>
      </c>
    </row>
    <row r="41" spans="1:5" ht="24.75" x14ac:dyDescent="0.25">
      <c r="A41" s="8" t="s">
        <v>338</v>
      </c>
      <c r="B41" s="8" t="s">
        <v>224</v>
      </c>
      <c r="C41" s="8" t="s">
        <v>284</v>
      </c>
      <c r="D41" s="8" t="s">
        <v>858</v>
      </c>
      <c r="E41" s="8">
        <v>6.2372171045875294E-2</v>
      </c>
    </row>
    <row r="42" spans="1:5" ht="24.75" x14ac:dyDescent="0.25">
      <c r="A42" s="8" t="s">
        <v>338</v>
      </c>
      <c r="B42" s="8" t="s">
        <v>224</v>
      </c>
      <c r="C42" s="8" t="s">
        <v>284</v>
      </c>
      <c r="D42" s="8" t="s">
        <v>859</v>
      </c>
      <c r="E42" s="8">
        <v>0.3186727727529276</v>
      </c>
    </row>
    <row r="43" spans="1:5" ht="24.75" x14ac:dyDescent="0.25">
      <c r="A43" s="8" t="s">
        <v>338</v>
      </c>
      <c r="B43" s="8" t="s">
        <v>224</v>
      </c>
      <c r="C43" s="8" t="s">
        <v>284</v>
      </c>
      <c r="D43" s="8" t="s">
        <v>860</v>
      </c>
      <c r="E43" s="8">
        <v>0.31990275173795191</v>
      </c>
    </row>
    <row r="44" spans="1:5" ht="24.75" x14ac:dyDescent="0.25">
      <c r="A44" s="8" t="s">
        <v>338</v>
      </c>
      <c r="B44" s="8" t="s">
        <v>224</v>
      </c>
      <c r="C44" s="8" t="s">
        <v>284</v>
      </c>
      <c r="D44" s="8" t="s">
        <v>861</v>
      </c>
      <c r="E44" s="8">
        <v>3.8855235083869115E-2</v>
      </c>
    </row>
    <row r="45" spans="1:5" ht="24.75" x14ac:dyDescent="0.25">
      <c r="A45" s="8" t="s">
        <v>338</v>
      </c>
      <c r="B45" s="8" t="s">
        <v>224</v>
      </c>
      <c r="C45" s="8" t="s">
        <v>284</v>
      </c>
      <c r="D45" s="8" t="s">
        <v>862</v>
      </c>
      <c r="E45" s="8">
        <v>0.1224282746853208</v>
      </c>
    </row>
    <row r="46" spans="1:5" ht="24.75" x14ac:dyDescent="0.25">
      <c r="A46" s="8" t="s">
        <v>338</v>
      </c>
      <c r="B46" s="8" t="s">
        <v>224</v>
      </c>
      <c r="C46" s="8" t="s">
        <v>284</v>
      </c>
      <c r="D46" s="8" t="s">
        <v>863</v>
      </c>
      <c r="E46" s="8">
        <v>6.2807400679233349E-2</v>
      </c>
    </row>
    <row r="47" spans="1:5" ht="24.75" x14ac:dyDescent="0.25">
      <c r="A47" s="8" t="s">
        <v>338</v>
      </c>
      <c r="B47" s="8" t="s">
        <v>224</v>
      </c>
      <c r="C47" s="8" t="s">
        <v>284</v>
      </c>
      <c r="D47" s="8" t="s">
        <v>864</v>
      </c>
      <c r="E47" s="8">
        <v>15.567308022417162</v>
      </c>
    </row>
    <row r="48" spans="1:5" ht="24.75" x14ac:dyDescent="0.25">
      <c r="A48" s="8" t="s">
        <v>338</v>
      </c>
      <c r="B48" s="8" t="s">
        <v>224</v>
      </c>
      <c r="C48" s="8" t="s">
        <v>284</v>
      </c>
      <c r="D48" s="8" t="s">
        <v>865</v>
      </c>
      <c r="E48" s="8">
        <v>0.11984117105941813</v>
      </c>
    </row>
    <row r="49" spans="1:5" ht="24.75" x14ac:dyDescent="0.25">
      <c r="A49" s="8" t="s">
        <v>338</v>
      </c>
      <c r="B49" s="8" t="s">
        <v>224</v>
      </c>
      <c r="C49" s="8" t="s">
        <v>284</v>
      </c>
      <c r="D49" s="8" t="s">
        <v>866</v>
      </c>
      <c r="E49" s="8">
        <v>0.11925225856953907</v>
      </c>
    </row>
    <row r="50" spans="1:5" ht="24.75" x14ac:dyDescent="0.25">
      <c r="A50" s="8" t="s">
        <v>338</v>
      </c>
      <c r="B50" s="8" t="s">
        <v>224</v>
      </c>
      <c r="C50" s="8" t="s">
        <v>284</v>
      </c>
      <c r="D50" s="8" t="s">
        <v>867</v>
      </c>
      <c r="E50" s="8">
        <v>0.18264236768872269</v>
      </c>
    </row>
    <row r="51" spans="1:5" ht="24.75" x14ac:dyDescent="0.25">
      <c r="A51" s="8" t="s">
        <v>338</v>
      </c>
      <c r="B51" s="8" t="s">
        <v>224</v>
      </c>
      <c r="C51" s="8" t="s">
        <v>284</v>
      </c>
      <c r="D51" s="8" t="s">
        <v>868</v>
      </c>
      <c r="E51" s="8">
        <v>0.38936773787858003</v>
      </c>
    </row>
    <row r="52" spans="1:5" ht="24.75" x14ac:dyDescent="0.25">
      <c r="A52" s="8" t="s">
        <v>338</v>
      </c>
      <c r="B52" s="8" t="s">
        <v>224</v>
      </c>
      <c r="C52" s="8" t="s">
        <v>284</v>
      </c>
      <c r="D52" s="8" t="s">
        <v>869</v>
      </c>
      <c r="E52" s="8">
        <v>0.14657969083001932</v>
      </c>
    </row>
    <row r="53" spans="1:5" ht="24.75" x14ac:dyDescent="0.25">
      <c r="A53" s="8" t="s">
        <v>338</v>
      </c>
      <c r="B53" s="8" t="s">
        <v>224</v>
      </c>
      <c r="C53" s="8" t="s">
        <v>284</v>
      </c>
      <c r="D53" s="8" t="s">
        <v>870</v>
      </c>
      <c r="E53" s="8">
        <v>6.4733449691955908E-2</v>
      </c>
    </row>
    <row r="54" spans="1:5" ht="24.75" x14ac:dyDescent="0.25">
      <c r="A54" s="8" t="s">
        <v>338</v>
      </c>
      <c r="B54" s="8" t="s">
        <v>224</v>
      </c>
      <c r="C54" s="8" t="s">
        <v>284</v>
      </c>
      <c r="D54" s="8" t="s">
        <v>871</v>
      </c>
      <c r="E54" s="8">
        <v>1.7015744185704871</v>
      </c>
    </row>
    <row r="55" spans="1:5" ht="24.75" x14ac:dyDescent="0.25">
      <c r="A55" s="8" t="s">
        <v>338</v>
      </c>
      <c r="B55" s="8" t="s">
        <v>224</v>
      </c>
      <c r="C55" s="8" t="s">
        <v>284</v>
      </c>
      <c r="D55" s="8" t="s">
        <v>872</v>
      </c>
      <c r="E55" s="8">
        <v>0.20335111411729517</v>
      </c>
    </row>
    <row r="56" spans="1:5" ht="24.75" x14ac:dyDescent="0.25">
      <c r="A56" s="8" t="s">
        <v>338</v>
      </c>
      <c r="B56" s="8" t="s">
        <v>224</v>
      </c>
      <c r="C56" s="8" t="s">
        <v>284</v>
      </c>
      <c r="D56" s="8" t="s">
        <v>873</v>
      </c>
      <c r="E56" s="8">
        <v>0.92688436146929987</v>
      </c>
    </row>
    <row r="57" spans="1:5" ht="24.75" x14ac:dyDescent="0.25">
      <c r="A57" s="8" t="s">
        <v>338</v>
      </c>
      <c r="B57" s="8" t="s">
        <v>224</v>
      </c>
      <c r="C57" s="8" t="s">
        <v>284</v>
      </c>
      <c r="D57" s="8" t="s">
        <v>874</v>
      </c>
      <c r="E57" s="8">
        <v>6.3810190144591399</v>
      </c>
    </row>
    <row r="58" spans="1:5" ht="24.75" x14ac:dyDescent="0.25">
      <c r="A58" s="8" t="s">
        <v>338</v>
      </c>
      <c r="B58" s="8" t="s">
        <v>224</v>
      </c>
      <c r="C58" s="8" t="s">
        <v>284</v>
      </c>
      <c r="D58" s="8" t="s">
        <v>875</v>
      </c>
      <c r="E58" s="8">
        <v>6.3243419399930376</v>
      </c>
    </row>
    <row r="59" spans="1:5" ht="24.75" x14ac:dyDescent="0.25">
      <c r="A59" s="8" t="s">
        <v>338</v>
      </c>
      <c r="B59" s="8" t="s">
        <v>224</v>
      </c>
      <c r="C59" s="8" t="s">
        <v>284</v>
      </c>
      <c r="D59" s="8" t="s">
        <v>876</v>
      </c>
      <c r="E59" s="8">
        <v>4.5126330243272623E-2</v>
      </c>
    </row>
    <row r="60" spans="1:5" ht="24.75" x14ac:dyDescent="0.25">
      <c r="A60" s="8" t="s">
        <v>338</v>
      </c>
      <c r="B60" s="8" t="s">
        <v>224</v>
      </c>
      <c r="C60" s="8" t="s">
        <v>284</v>
      </c>
      <c r="D60" s="8" t="s">
        <v>877</v>
      </c>
      <c r="E60" s="8">
        <v>1.0561103697170504</v>
      </c>
    </row>
    <row r="61" spans="1:5" ht="24.75" x14ac:dyDescent="0.25">
      <c r="A61" s="8" t="s">
        <v>338</v>
      </c>
      <c r="B61" s="8" t="s">
        <v>224</v>
      </c>
      <c r="C61" s="8" t="s">
        <v>284</v>
      </c>
      <c r="D61" s="8" t="s">
        <v>878</v>
      </c>
      <c r="E61" s="8">
        <v>0.18387806000690035</v>
      </c>
    </row>
    <row r="62" spans="1:5" ht="24.75" x14ac:dyDescent="0.25">
      <c r="A62" s="8" t="s">
        <v>338</v>
      </c>
      <c r="B62" s="8" t="s">
        <v>224</v>
      </c>
      <c r="C62" s="8" t="s">
        <v>284</v>
      </c>
      <c r="D62" s="8" t="s">
        <v>879</v>
      </c>
      <c r="E62" s="8">
        <v>1.196110369717049</v>
      </c>
    </row>
    <row r="63" spans="1:5" ht="24.75" x14ac:dyDescent="0.25">
      <c r="A63" s="8" t="s">
        <v>338</v>
      </c>
      <c r="B63" s="8" t="s">
        <v>224</v>
      </c>
      <c r="C63" s="8" t="s">
        <v>284</v>
      </c>
      <c r="D63" s="8" t="s">
        <v>880</v>
      </c>
      <c r="E63" s="8">
        <v>5.1355099999999911</v>
      </c>
    </row>
    <row r="64" spans="1:5" ht="24.75" x14ac:dyDescent="0.25">
      <c r="A64" s="8" t="s">
        <v>338</v>
      </c>
      <c r="B64" s="8" t="s">
        <v>224</v>
      </c>
      <c r="C64" s="8" t="s">
        <v>284</v>
      </c>
      <c r="D64" s="8" t="s">
        <v>881</v>
      </c>
      <c r="E64" s="8">
        <v>0.12572301309838893</v>
      </c>
    </row>
    <row r="65" spans="1:5" ht="24.75" x14ac:dyDescent="0.25">
      <c r="A65" s="8" t="s">
        <v>338</v>
      </c>
      <c r="B65" s="8" t="s">
        <v>224</v>
      </c>
      <c r="C65" s="8" t="s">
        <v>284</v>
      </c>
      <c r="D65" s="8" t="s">
        <v>882</v>
      </c>
      <c r="E65" s="8">
        <v>1.286134388168954</v>
      </c>
    </row>
    <row r="66" spans="1:5" ht="24.75" x14ac:dyDescent="0.25">
      <c r="A66" s="8" t="s">
        <v>338</v>
      </c>
      <c r="B66" s="8" t="s">
        <v>224</v>
      </c>
      <c r="C66" s="8" t="s">
        <v>284</v>
      </c>
      <c r="D66" s="8" t="s">
        <v>883</v>
      </c>
      <c r="E66" s="8">
        <v>2.4029191015524627</v>
      </c>
    </row>
    <row r="67" spans="1:5" ht="24.75" x14ac:dyDescent="0.25">
      <c r="A67" s="8" t="s">
        <v>338</v>
      </c>
      <c r="B67" s="8" t="s">
        <v>224</v>
      </c>
      <c r="C67" s="8" t="s">
        <v>284</v>
      </c>
      <c r="D67" s="8" t="s">
        <v>884</v>
      </c>
      <c r="E67" s="8">
        <v>1.3503907426824839</v>
      </c>
    </row>
    <row r="68" spans="1:5" ht="24.75" x14ac:dyDescent="0.25">
      <c r="A68" s="8" t="s">
        <v>338</v>
      </c>
      <c r="B68" s="8" t="s">
        <v>224</v>
      </c>
      <c r="C68" s="8" t="s">
        <v>284</v>
      </c>
      <c r="D68" s="8" t="s">
        <v>885</v>
      </c>
      <c r="E68" s="8">
        <v>1.3955724153952289</v>
      </c>
    </row>
    <row r="69" spans="1:5" ht="24.75" x14ac:dyDescent="0.25">
      <c r="A69" s="8" t="s">
        <v>338</v>
      </c>
      <c r="B69" s="8" t="s">
        <v>224</v>
      </c>
      <c r="C69" s="8" t="s">
        <v>284</v>
      </c>
      <c r="D69" s="8" t="s">
        <v>886</v>
      </c>
      <c r="E69" s="8">
        <v>6.7019689685822144</v>
      </c>
    </row>
    <row r="70" spans="1:5" ht="24.75" x14ac:dyDescent="0.25">
      <c r="A70" s="8" t="s">
        <v>338</v>
      </c>
      <c r="B70" s="8" t="s">
        <v>224</v>
      </c>
      <c r="C70" s="8" t="s">
        <v>284</v>
      </c>
      <c r="D70" s="8" t="s">
        <v>887</v>
      </c>
      <c r="E70" s="8">
        <v>10.909534249218531</v>
      </c>
    </row>
    <row r="71" spans="1:5" ht="24.75" x14ac:dyDescent="0.25">
      <c r="A71" s="8" t="s">
        <v>338</v>
      </c>
      <c r="B71" s="8" t="s">
        <v>224</v>
      </c>
      <c r="C71" s="8" t="s">
        <v>284</v>
      </c>
      <c r="D71" s="8" t="s">
        <v>888</v>
      </c>
      <c r="E71" s="8">
        <v>7.5353363046673588E-2</v>
      </c>
    </row>
    <row r="72" spans="1:5" ht="24.75" x14ac:dyDescent="0.25">
      <c r="A72" s="8" t="s">
        <v>338</v>
      </c>
      <c r="B72" s="8" t="s">
        <v>224</v>
      </c>
      <c r="C72" s="8" t="s">
        <v>284</v>
      </c>
      <c r="D72" s="8" t="s">
        <v>889</v>
      </c>
      <c r="E72" s="8">
        <v>0.19076043231219256</v>
      </c>
    </row>
    <row r="73" spans="1:5" ht="24.75" x14ac:dyDescent="0.25">
      <c r="A73" s="8" t="s">
        <v>338</v>
      </c>
      <c r="B73" s="8" t="s">
        <v>224</v>
      </c>
      <c r="C73" s="8" t="s">
        <v>284</v>
      </c>
      <c r="D73" s="8" t="s">
        <v>890</v>
      </c>
      <c r="E73" s="8">
        <v>0.19199992508198518</v>
      </c>
    </row>
    <row r="74" spans="1:5" ht="24.75" x14ac:dyDescent="0.25">
      <c r="A74" s="8" t="s">
        <v>338</v>
      </c>
      <c r="B74" s="8" t="s">
        <v>224</v>
      </c>
      <c r="C74" s="8" t="s">
        <v>284</v>
      </c>
      <c r="D74" s="8" t="s">
        <v>891</v>
      </c>
      <c r="E74" s="8">
        <v>0.6753128606349138</v>
      </c>
    </row>
    <row r="75" spans="1:5" ht="24.75" x14ac:dyDescent="0.25">
      <c r="A75" s="8" t="s">
        <v>338</v>
      </c>
      <c r="B75" s="8" t="s">
        <v>224</v>
      </c>
      <c r="C75" s="8" t="s">
        <v>284</v>
      </c>
      <c r="D75" s="8" t="s">
        <v>892</v>
      </c>
      <c r="E75" s="8">
        <v>1.8635255932580139</v>
      </c>
    </row>
    <row r="76" spans="1:5" ht="24.75" x14ac:dyDescent="0.25">
      <c r="A76" s="8" t="s">
        <v>338</v>
      </c>
      <c r="B76" s="8" t="s">
        <v>224</v>
      </c>
      <c r="C76" s="8" t="s">
        <v>284</v>
      </c>
      <c r="D76" s="8" t="s">
        <v>893</v>
      </c>
      <c r="E76" s="8">
        <v>0.32177437909220669</v>
      </c>
    </row>
    <row r="77" spans="1:5" ht="24.75" x14ac:dyDescent="0.25">
      <c r="A77" s="8" t="s">
        <v>338</v>
      </c>
      <c r="B77" s="8" t="s">
        <v>224</v>
      </c>
      <c r="C77" s="8" t="s">
        <v>284</v>
      </c>
      <c r="D77" s="8" t="s">
        <v>894</v>
      </c>
      <c r="E77" s="8">
        <v>0.57761000000000129</v>
      </c>
    </row>
    <row r="78" spans="1:5" ht="24.75" x14ac:dyDescent="0.25">
      <c r="A78" s="8" t="s">
        <v>338</v>
      </c>
      <c r="B78" s="8" t="s">
        <v>224</v>
      </c>
      <c r="C78" s="8" t="s">
        <v>284</v>
      </c>
      <c r="D78" s="8" t="s">
        <v>895</v>
      </c>
      <c r="E78" s="8">
        <v>1.5287000000000006</v>
      </c>
    </row>
    <row r="79" spans="1:5" ht="24.75" x14ac:dyDescent="0.25">
      <c r="A79" s="8" t="s">
        <v>338</v>
      </c>
      <c r="B79" s="8" t="s">
        <v>224</v>
      </c>
      <c r="C79" s="8" t="s">
        <v>284</v>
      </c>
      <c r="D79" s="8" t="s">
        <v>896</v>
      </c>
      <c r="E79" s="8">
        <v>1.9971612422177369</v>
      </c>
    </row>
    <row r="80" spans="1:5" ht="24.75" x14ac:dyDescent="0.25">
      <c r="A80" s="8" t="s">
        <v>338</v>
      </c>
      <c r="B80" s="8" t="s">
        <v>224</v>
      </c>
      <c r="C80" s="8" t="s">
        <v>284</v>
      </c>
      <c r="D80" s="8" t="s">
        <v>897</v>
      </c>
      <c r="E80" s="8">
        <v>0.96333562090779312</v>
      </c>
    </row>
    <row r="81" spans="1:5" ht="24.75" x14ac:dyDescent="0.25">
      <c r="A81" s="8" t="s">
        <v>338</v>
      </c>
      <c r="B81" s="8" t="s">
        <v>224</v>
      </c>
      <c r="C81" s="8" t="s">
        <v>284</v>
      </c>
      <c r="D81" s="8" t="s">
        <v>898</v>
      </c>
      <c r="E81" s="8">
        <v>0.34862034042411039</v>
      </c>
    </row>
    <row r="82" spans="1:5" ht="24.75" x14ac:dyDescent="0.25">
      <c r="A82" s="8" t="s">
        <v>338</v>
      </c>
      <c r="B82" s="8" t="s">
        <v>224</v>
      </c>
      <c r="C82" s="8" t="s">
        <v>284</v>
      </c>
      <c r="D82" s="8" t="s">
        <v>899</v>
      </c>
      <c r="E82" s="8">
        <v>0.86796437909220925</v>
      </c>
    </row>
    <row r="83" spans="1:5" ht="24.75" x14ac:dyDescent="0.25">
      <c r="A83" s="8" t="s">
        <v>338</v>
      </c>
      <c r="B83" s="8" t="s">
        <v>224</v>
      </c>
      <c r="C83" s="8" t="s">
        <v>284</v>
      </c>
      <c r="D83" s="8" t="s">
        <v>900</v>
      </c>
      <c r="E83" s="8">
        <v>0.25174562307433979</v>
      </c>
    </row>
    <row r="84" spans="1:5" ht="24.75" x14ac:dyDescent="0.25">
      <c r="A84" s="8" t="s">
        <v>338</v>
      </c>
      <c r="B84" s="8" t="s">
        <v>224</v>
      </c>
      <c r="C84" s="8" t="s">
        <v>284</v>
      </c>
      <c r="D84" s="8" t="s">
        <v>901</v>
      </c>
      <c r="E84" s="8">
        <v>1.8471990591278704</v>
      </c>
    </row>
    <row r="85" spans="1:5" ht="24.75" x14ac:dyDescent="0.25">
      <c r="A85" s="8" t="s">
        <v>338</v>
      </c>
      <c r="B85" s="8" t="s">
        <v>224</v>
      </c>
      <c r="C85" s="8" t="s">
        <v>284</v>
      </c>
      <c r="D85" s="8" t="s">
        <v>902</v>
      </c>
      <c r="E85" s="8">
        <v>0.74177437909220678</v>
      </c>
    </row>
    <row r="86" spans="1:5" ht="24.75" x14ac:dyDescent="0.25">
      <c r="A86" s="8" t="s">
        <v>338</v>
      </c>
      <c r="B86" s="8" t="s">
        <v>224</v>
      </c>
      <c r="C86" s="8" t="s">
        <v>284</v>
      </c>
      <c r="D86" s="8" t="s">
        <v>903</v>
      </c>
      <c r="E86" s="8">
        <v>0.57760999999999985</v>
      </c>
    </row>
    <row r="87" spans="1:5" ht="24.75" x14ac:dyDescent="0.25">
      <c r="A87" s="8" t="s">
        <v>338</v>
      </c>
      <c r="B87" s="8" t="s">
        <v>224</v>
      </c>
      <c r="C87" s="8" t="s">
        <v>284</v>
      </c>
      <c r="D87" s="8" t="s">
        <v>904</v>
      </c>
      <c r="E87" s="8">
        <v>1.5287000000000008</v>
      </c>
    </row>
    <row r="88" spans="1:5" ht="24.75" x14ac:dyDescent="0.25">
      <c r="A88" s="8" t="s">
        <v>338</v>
      </c>
      <c r="B88" s="8" t="s">
        <v>224</v>
      </c>
      <c r="C88" s="8" t="s">
        <v>284</v>
      </c>
      <c r="D88" s="8" t="s">
        <v>905</v>
      </c>
      <c r="E88" s="8">
        <v>1.9971436117294383</v>
      </c>
    </row>
    <row r="89" spans="1:5" ht="24.75" x14ac:dyDescent="0.25">
      <c r="A89" s="8" t="s">
        <v>338</v>
      </c>
      <c r="B89" s="8" t="s">
        <v>224</v>
      </c>
      <c r="C89" s="8" t="s">
        <v>284</v>
      </c>
      <c r="D89" s="8" t="s">
        <v>906</v>
      </c>
      <c r="E89" s="8">
        <v>1.3633356209077911</v>
      </c>
    </row>
    <row r="90" spans="1:5" ht="24.75" x14ac:dyDescent="0.25">
      <c r="A90" s="8" t="s">
        <v>338</v>
      </c>
      <c r="B90" s="8" t="s">
        <v>224</v>
      </c>
      <c r="C90" s="8" t="s">
        <v>284</v>
      </c>
      <c r="D90" s="8" t="s">
        <v>907</v>
      </c>
      <c r="E90" s="8">
        <v>0.3012924672340726</v>
      </c>
    </row>
    <row r="91" spans="1:5" ht="24.75" x14ac:dyDescent="0.25">
      <c r="A91" s="8" t="s">
        <v>338</v>
      </c>
      <c r="B91" s="8" t="s">
        <v>224</v>
      </c>
      <c r="C91" s="8" t="s">
        <v>284</v>
      </c>
      <c r="D91" s="8" t="s">
        <v>908</v>
      </c>
      <c r="E91" s="8">
        <v>0.86796437909220936</v>
      </c>
    </row>
    <row r="92" spans="1:5" ht="24.75" x14ac:dyDescent="0.25">
      <c r="A92" s="8" t="s">
        <v>338</v>
      </c>
      <c r="B92" s="8" t="s">
        <v>224</v>
      </c>
      <c r="C92" s="8" t="s">
        <v>284</v>
      </c>
      <c r="D92" s="8" t="s">
        <v>909</v>
      </c>
      <c r="E92" s="8">
        <v>0.6517456230743397</v>
      </c>
    </row>
    <row r="93" spans="1:5" ht="24.75" x14ac:dyDescent="0.25">
      <c r="A93" s="8" t="s">
        <v>338</v>
      </c>
      <c r="B93" s="8" t="s">
        <v>224</v>
      </c>
      <c r="C93" s="8" t="s">
        <v>284</v>
      </c>
      <c r="D93" s="8" t="s">
        <v>910</v>
      </c>
      <c r="E93" s="8">
        <v>1.8447100012467124</v>
      </c>
    </row>
    <row r="94" spans="1:5" ht="24.75" x14ac:dyDescent="0.25">
      <c r="A94" s="8" t="s">
        <v>338</v>
      </c>
      <c r="B94" s="8" t="s">
        <v>224</v>
      </c>
      <c r="C94" s="8" t="s">
        <v>284</v>
      </c>
      <c r="D94" s="8" t="s">
        <v>911</v>
      </c>
      <c r="E94" s="8">
        <v>0.34425175731600433</v>
      </c>
    </row>
    <row r="95" spans="1:5" ht="24.75" x14ac:dyDescent="0.25">
      <c r="A95" s="8" t="s">
        <v>338</v>
      </c>
      <c r="B95" s="8" t="s">
        <v>224</v>
      </c>
      <c r="C95" s="8" t="s">
        <v>284</v>
      </c>
      <c r="D95" s="8" t="s">
        <v>912</v>
      </c>
      <c r="E95" s="8">
        <v>0.58127810409882619</v>
      </c>
    </row>
    <row r="96" spans="1:5" ht="24.75" x14ac:dyDescent="0.25">
      <c r="A96" s="8" t="s">
        <v>338</v>
      </c>
      <c r="B96" s="8" t="s">
        <v>224</v>
      </c>
      <c r="C96" s="8" t="s">
        <v>284</v>
      </c>
      <c r="D96" s="8" t="s">
        <v>913</v>
      </c>
      <c r="E96" s="8">
        <v>1.5287000000000004</v>
      </c>
    </row>
    <row r="97" spans="1:5" ht="24.75" x14ac:dyDescent="0.25">
      <c r="A97" s="8" t="s">
        <v>338</v>
      </c>
      <c r="B97" s="8" t="s">
        <v>224</v>
      </c>
      <c r="C97" s="8" t="s">
        <v>284</v>
      </c>
      <c r="D97" s="8" t="s">
        <v>914</v>
      </c>
      <c r="E97" s="8">
        <v>1.9795595269190098</v>
      </c>
    </row>
    <row r="98" spans="1:5" ht="24.75" x14ac:dyDescent="0.25">
      <c r="A98" s="8" t="s">
        <v>338</v>
      </c>
      <c r="B98" s="8" t="s">
        <v>224</v>
      </c>
      <c r="C98" s="8" t="s">
        <v>284</v>
      </c>
      <c r="D98" s="8" t="s">
        <v>915</v>
      </c>
      <c r="E98" s="8">
        <v>1.4083356209077915</v>
      </c>
    </row>
    <row r="99" spans="1:5" ht="24.75" x14ac:dyDescent="0.25">
      <c r="A99" s="8" t="s">
        <v>338</v>
      </c>
      <c r="B99" s="8" t="s">
        <v>224</v>
      </c>
      <c r="C99" s="8" t="s">
        <v>284</v>
      </c>
      <c r="D99" s="8" t="s">
        <v>916</v>
      </c>
      <c r="E99" s="8">
        <v>0.2992755064573222</v>
      </c>
    </row>
    <row r="100" spans="1:5" ht="24.75" x14ac:dyDescent="0.25">
      <c r="A100" s="8" t="s">
        <v>338</v>
      </c>
      <c r="B100" s="8" t="s">
        <v>224</v>
      </c>
      <c r="C100" s="8" t="s">
        <v>284</v>
      </c>
      <c r="D100" s="8" t="s">
        <v>917</v>
      </c>
      <c r="E100" s="8">
        <v>0.86796437909220936</v>
      </c>
    </row>
    <row r="101" spans="1:5" ht="24.75" x14ac:dyDescent="0.25">
      <c r="A101" s="8" t="s">
        <v>338</v>
      </c>
      <c r="B101" s="8" t="s">
        <v>224</v>
      </c>
      <c r="C101" s="8" t="s">
        <v>284</v>
      </c>
      <c r="D101" s="8" t="s">
        <v>918</v>
      </c>
      <c r="E101" s="8">
        <v>0.69674562307433996</v>
      </c>
    </row>
    <row r="102" spans="1:5" ht="24.75" x14ac:dyDescent="0.25">
      <c r="A102" s="8" t="s">
        <v>338</v>
      </c>
      <c r="B102" s="8" t="s">
        <v>224</v>
      </c>
      <c r="C102" s="8" t="s">
        <v>284</v>
      </c>
      <c r="D102" s="8" t="s">
        <v>919</v>
      </c>
      <c r="E102" s="8">
        <v>0.29797478236043046</v>
      </c>
    </row>
    <row r="103" spans="1:5" ht="24.75" x14ac:dyDescent="0.25">
      <c r="A103" s="8" t="s">
        <v>338</v>
      </c>
      <c r="B103" s="8" t="s">
        <v>224</v>
      </c>
      <c r="C103" s="8" t="s">
        <v>284</v>
      </c>
      <c r="D103" s="8" t="s">
        <v>920</v>
      </c>
      <c r="E103" s="8">
        <v>0.57881040326822264</v>
      </c>
    </row>
    <row r="104" spans="1:5" ht="24.75" x14ac:dyDescent="0.25">
      <c r="A104" s="8" t="s">
        <v>338</v>
      </c>
      <c r="B104" s="8" t="s">
        <v>224</v>
      </c>
      <c r="C104" s="8" t="s">
        <v>284</v>
      </c>
      <c r="D104" s="8" t="s">
        <v>921</v>
      </c>
      <c r="E104" s="8">
        <v>1.5287000000000013</v>
      </c>
    </row>
    <row r="105" spans="1:5" ht="24.75" x14ac:dyDescent="0.25">
      <c r="A105" s="8" t="s">
        <v>338</v>
      </c>
      <c r="B105" s="8" t="s">
        <v>224</v>
      </c>
      <c r="C105" s="8" t="s">
        <v>284</v>
      </c>
      <c r="D105" s="8" t="s">
        <v>922</v>
      </c>
      <c r="E105" s="8">
        <v>1.9792001743888377</v>
      </c>
    </row>
    <row r="106" spans="1:5" ht="24.75" x14ac:dyDescent="0.25">
      <c r="A106" s="8" t="s">
        <v>338</v>
      </c>
      <c r="B106" s="8" t="s">
        <v>224</v>
      </c>
      <c r="C106" s="8" t="s">
        <v>284</v>
      </c>
      <c r="D106" s="8" t="s">
        <v>923</v>
      </c>
      <c r="E106" s="8">
        <v>0.96333562090778957</v>
      </c>
    </row>
    <row r="107" spans="1:5" ht="24.75" x14ac:dyDescent="0.25">
      <c r="A107" s="8" t="s">
        <v>338</v>
      </c>
      <c r="B107" s="8" t="s">
        <v>224</v>
      </c>
      <c r="C107" s="8" t="s">
        <v>284</v>
      </c>
      <c r="D107" s="8" t="s">
        <v>924</v>
      </c>
      <c r="E107" s="8">
        <v>0.32841632282636757</v>
      </c>
    </row>
    <row r="108" spans="1:5" ht="24.75" x14ac:dyDescent="0.25">
      <c r="A108" s="8" t="s">
        <v>338</v>
      </c>
      <c r="B108" s="8" t="s">
        <v>224</v>
      </c>
      <c r="C108" s="8" t="s">
        <v>284</v>
      </c>
      <c r="D108" s="8" t="s">
        <v>925</v>
      </c>
      <c r="E108" s="8">
        <v>0.86796437909220925</v>
      </c>
    </row>
    <row r="109" spans="1:5" ht="24.75" x14ac:dyDescent="0.25">
      <c r="A109" s="8" t="s">
        <v>338</v>
      </c>
      <c r="B109" s="8" t="s">
        <v>224</v>
      </c>
      <c r="C109" s="8" t="s">
        <v>284</v>
      </c>
      <c r="D109" s="8" t="s">
        <v>926</v>
      </c>
      <c r="E109" s="8">
        <v>0.25174562307434029</v>
      </c>
    </row>
    <row r="110" spans="1:5" ht="24.75" x14ac:dyDescent="0.25">
      <c r="A110" s="8" t="s">
        <v>338</v>
      </c>
      <c r="B110" s="8" t="s">
        <v>224</v>
      </c>
      <c r="C110" s="8" t="s">
        <v>284</v>
      </c>
      <c r="D110" s="8" t="s">
        <v>927</v>
      </c>
      <c r="E110" s="8">
        <v>1.8469848120122387</v>
      </c>
    </row>
    <row r="111" spans="1:5" ht="24.75" x14ac:dyDescent="0.25">
      <c r="A111" s="8" t="s">
        <v>338</v>
      </c>
      <c r="B111" s="8" t="s">
        <v>224</v>
      </c>
      <c r="C111" s="8" t="s">
        <v>284</v>
      </c>
      <c r="D111" s="8" t="s">
        <v>928</v>
      </c>
      <c r="E111" s="8">
        <v>0.74546503173046874</v>
      </c>
    </row>
    <row r="112" spans="1:5" ht="24.75" x14ac:dyDescent="0.25">
      <c r="A112" s="8" t="s">
        <v>338</v>
      </c>
      <c r="B112" s="8" t="s">
        <v>224</v>
      </c>
      <c r="C112" s="8" t="s">
        <v>284</v>
      </c>
      <c r="D112" s="8" t="s">
        <v>929</v>
      </c>
      <c r="E112" s="8">
        <v>0.58133498110262372</v>
      </c>
    </row>
    <row r="113" spans="1:5" ht="24.75" x14ac:dyDescent="0.25">
      <c r="A113" s="8" t="s">
        <v>338</v>
      </c>
      <c r="B113" s="8" t="s">
        <v>224</v>
      </c>
      <c r="C113" s="8" t="s">
        <v>284</v>
      </c>
      <c r="D113" s="8" t="s">
        <v>930</v>
      </c>
      <c r="E113" s="8">
        <v>1.5287000000000006</v>
      </c>
    </row>
    <row r="114" spans="1:5" ht="24.75" x14ac:dyDescent="0.25">
      <c r="A114" s="8" t="s">
        <v>338</v>
      </c>
      <c r="B114" s="8" t="s">
        <v>224</v>
      </c>
      <c r="C114" s="8" t="s">
        <v>284</v>
      </c>
      <c r="D114" s="8" t="s">
        <v>931</v>
      </c>
      <c r="E114" s="8">
        <v>1.9972002116412444</v>
      </c>
    </row>
    <row r="115" spans="1:5" ht="24.75" x14ac:dyDescent="0.25">
      <c r="A115" s="8" t="s">
        <v>338</v>
      </c>
      <c r="B115" s="8" t="s">
        <v>224</v>
      </c>
      <c r="C115" s="8" t="s">
        <v>284</v>
      </c>
      <c r="D115" s="8" t="s">
        <v>932</v>
      </c>
      <c r="E115" s="8">
        <v>0.96333562090779312</v>
      </c>
    </row>
    <row r="116" spans="1:5" ht="24.75" x14ac:dyDescent="0.25">
      <c r="A116" s="8" t="s">
        <v>338</v>
      </c>
      <c r="B116" s="8" t="s">
        <v>224</v>
      </c>
      <c r="C116" s="8" t="s">
        <v>284</v>
      </c>
      <c r="D116" s="8" t="s">
        <v>933</v>
      </c>
      <c r="E116" s="8">
        <v>0.32066406353527327</v>
      </c>
    </row>
    <row r="117" spans="1:5" ht="24.75" x14ac:dyDescent="0.25">
      <c r="A117" s="8" t="s">
        <v>338</v>
      </c>
      <c r="B117" s="8" t="s">
        <v>224</v>
      </c>
      <c r="C117" s="8" t="s">
        <v>284</v>
      </c>
      <c r="D117" s="8" t="s">
        <v>934</v>
      </c>
      <c r="E117" s="8">
        <v>0.86796437909220936</v>
      </c>
    </row>
    <row r="118" spans="1:5" ht="24.75" x14ac:dyDescent="0.25">
      <c r="A118" s="8" t="s">
        <v>338</v>
      </c>
      <c r="B118" s="8" t="s">
        <v>224</v>
      </c>
      <c r="C118" s="8" t="s">
        <v>284</v>
      </c>
      <c r="D118" s="8" t="s">
        <v>935</v>
      </c>
      <c r="E118" s="8">
        <v>0.25174562307433979</v>
      </c>
    </row>
    <row r="119" spans="1:5" ht="24.75" x14ac:dyDescent="0.25">
      <c r="A119" s="8" t="s">
        <v>338</v>
      </c>
      <c r="B119" s="8" t="s">
        <v>224</v>
      </c>
      <c r="C119" s="8" t="s">
        <v>284</v>
      </c>
      <c r="D119" s="8" t="s">
        <v>936</v>
      </c>
      <c r="E119" s="8">
        <v>1.8447100002612931</v>
      </c>
    </row>
    <row r="120" spans="1:5" ht="24.75" x14ac:dyDescent="0.25">
      <c r="A120" s="8" t="s">
        <v>338</v>
      </c>
      <c r="B120" s="8" t="s">
        <v>224</v>
      </c>
      <c r="C120" s="8" t="s">
        <v>284</v>
      </c>
      <c r="D120" s="8" t="s">
        <v>937</v>
      </c>
      <c r="E120" s="8">
        <v>0.74256576397525342</v>
      </c>
    </row>
    <row r="121" spans="1:5" ht="24.75" x14ac:dyDescent="0.25">
      <c r="A121" s="8" t="s">
        <v>338</v>
      </c>
      <c r="B121" s="8" t="s">
        <v>224</v>
      </c>
      <c r="C121" s="8" t="s">
        <v>284</v>
      </c>
      <c r="D121" s="8" t="s">
        <v>938</v>
      </c>
      <c r="E121" s="8">
        <v>0.53771000000000102</v>
      </c>
    </row>
    <row r="122" spans="1:5" ht="24.75" x14ac:dyDescent="0.25">
      <c r="A122" s="8" t="s">
        <v>338</v>
      </c>
      <c r="B122" s="8" t="s">
        <v>224</v>
      </c>
      <c r="C122" s="8" t="s">
        <v>284</v>
      </c>
      <c r="D122" s="8" t="s">
        <v>939</v>
      </c>
      <c r="E122" s="8">
        <v>1.5856999999999992</v>
      </c>
    </row>
    <row r="123" spans="1:5" ht="24.75" x14ac:dyDescent="0.25">
      <c r="A123" s="8" t="s">
        <v>338</v>
      </c>
      <c r="B123" s="8" t="s">
        <v>224</v>
      </c>
      <c r="C123" s="8" t="s">
        <v>284</v>
      </c>
      <c r="D123" s="8" t="s">
        <v>940</v>
      </c>
      <c r="E123" s="8">
        <v>1.9621947544297793</v>
      </c>
    </row>
    <row r="124" spans="1:5" ht="24.75" x14ac:dyDescent="0.25">
      <c r="A124" s="8" t="s">
        <v>338</v>
      </c>
      <c r="B124" s="8" t="s">
        <v>224</v>
      </c>
      <c r="C124" s="8" t="s">
        <v>284</v>
      </c>
      <c r="D124" s="8" t="s">
        <v>941</v>
      </c>
      <c r="E124" s="8">
        <v>0.96333562090779179</v>
      </c>
    </row>
    <row r="125" spans="1:5" ht="24.75" x14ac:dyDescent="0.25">
      <c r="A125" s="8" t="s">
        <v>338</v>
      </c>
      <c r="B125" s="8" t="s">
        <v>224</v>
      </c>
      <c r="C125" s="8" t="s">
        <v>284</v>
      </c>
      <c r="D125" s="8" t="s">
        <v>942</v>
      </c>
      <c r="E125" s="8">
        <v>0.32555407902876182</v>
      </c>
    </row>
    <row r="126" spans="1:5" ht="24.75" x14ac:dyDescent="0.25">
      <c r="A126" s="8" t="s">
        <v>338</v>
      </c>
      <c r="B126" s="8" t="s">
        <v>224</v>
      </c>
      <c r="C126" s="8" t="s">
        <v>284</v>
      </c>
      <c r="D126" s="8" t="s">
        <v>943</v>
      </c>
      <c r="E126" s="8">
        <v>0.86796437909220936</v>
      </c>
    </row>
    <row r="127" spans="1:5" ht="24.75" x14ac:dyDescent="0.25">
      <c r="A127" s="8" t="s">
        <v>338</v>
      </c>
      <c r="B127" s="8" t="s">
        <v>224</v>
      </c>
      <c r="C127" s="8" t="s">
        <v>284</v>
      </c>
      <c r="D127" s="8" t="s">
        <v>944</v>
      </c>
      <c r="E127" s="8">
        <v>0.25174562307433923</v>
      </c>
    </row>
    <row r="128" spans="1:5" ht="24.75" x14ac:dyDescent="0.25">
      <c r="A128" s="8" t="s">
        <v>338</v>
      </c>
      <c r="B128" s="8" t="s">
        <v>224</v>
      </c>
      <c r="C128" s="8" t="s">
        <v>284</v>
      </c>
      <c r="D128" s="8" t="s">
        <v>945</v>
      </c>
      <c r="E128" s="8">
        <v>1.8471310035908952</v>
      </c>
    </row>
    <row r="129" spans="1:5" ht="24.75" x14ac:dyDescent="0.25">
      <c r="A129" s="8" t="s">
        <v>338</v>
      </c>
      <c r="B129" s="8" t="s">
        <v>224</v>
      </c>
      <c r="C129" s="8" t="s">
        <v>284</v>
      </c>
      <c r="D129" s="8" t="s">
        <v>946</v>
      </c>
      <c r="E129" s="8">
        <v>0.74297437909220909</v>
      </c>
    </row>
    <row r="130" spans="1:5" ht="24.75" x14ac:dyDescent="0.25">
      <c r="A130" s="8" t="s">
        <v>338</v>
      </c>
      <c r="B130" s="8" t="s">
        <v>224</v>
      </c>
      <c r="C130" s="8" t="s">
        <v>284</v>
      </c>
      <c r="D130" s="8" t="s">
        <v>947</v>
      </c>
      <c r="E130" s="8">
        <v>0.57881000000000105</v>
      </c>
    </row>
    <row r="131" spans="1:5" ht="24.75" x14ac:dyDescent="0.25">
      <c r="A131" s="8" t="s">
        <v>338</v>
      </c>
      <c r="B131" s="8" t="s">
        <v>224</v>
      </c>
      <c r="C131" s="8" t="s">
        <v>284</v>
      </c>
      <c r="D131" s="8" t="s">
        <v>948</v>
      </c>
      <c r="E131" s="8">
        <v>1.5287000000000013</v>
      </c>
    </row>
    <row r="132" spans="1:5" ht="24.75" x14ac:dyDescent="0.25">
      <c r="A132" s="8" t="s">
        <v>338</v>
      </c>
      <c r="B132" s="8" t="s">
        <v>224</v>
      </c>
      <c r="C132" s="8" t="s">
        <v>284</v>
      </c>
      <c r="D132" s="8" t="s">
        <v>949</v>
      </c>
      <c r="E132" s="8">
        <v>1.9807975384596268</v>
      </c>
    </row>
    <row r="133" spans="1:5" ht="24.75" x14ac:dyDescent="0.25">
      <c r="A133" s="8" t="s">
        <v>338</v>
      </c>
      <c r="B133" s="8" t="s">
        <v>224</v>
      </c>
      <c r="C133" s="8" t="s">
        <v>284</v>
      </c>
      <c r="D133" s="8" t="s">
        <v>950</v>
      </c>
      <c r="E133" s="8">
        <v>1.3833356209077921</v>
      </c>
    </row>
    <row r="134" spans="1:5" ht="24.75" x14ac:dyDescent="0.25">
      <c r="A134" s="8" t="s">
        <v>338</v>
      </c>
      <c r="B134" s="8" t="s">
        <v>224</v>
      </c>
      <c r="C134" s="8" t="s">
        <v>284</v>
      </c>
      <c r="D134" s="8" t="s">
        <v>951</v>
      </c>
      <c r="E134" s="8">
        <v>0.8679643790922088</v>
      </c>
    </row>
    <row r="135" spans="1:5" ht="24.75" x14ac:dyDescent="0.25">
      <c r="A135" s="8" t="s">
        <v>338</v>
      </c>
      <c r="B135" s="8" t="s">
        <v>224</v>
      </c>
      <c r="C135" s="8" t="s">
        <v>284</v>
      </c>
      <c r="D135" s="8" t="s">
        <v>952</v>
      </c>
      <c r="E135" s="8">
        <v>0.67174562307434027</v>
      </c>
    </row>
    <row r="136" spans="1:5" ht="24.75" x14ac:dyDescent="0.25">
      <c r="A136" s="8" t="s">
        <v>338</v>
      </c>
      <c r="B136" s="8" t="s">
        <v>224</v>
      </c>
      <c r="C136" s="8" t="s">
        <v>284</v>
      </c>
      <c r="D136" s="8" t="s">
        <v>953</v>
      </c>
      <c r="E136" s="8">
        <v>0.32297475204109344</v>
      </c>
    </row>
    <row r="137" spans="1:5" ht="24.75" x14ac:dyDescent="0.25">
      <c r="A137" s="8" t="s">
        <v>338</v>
      </c>
      <c r="B137" s="8" t="s">
        <v>224</v>
      </c>
      <c r="C137" s="8" t="s">
        <v>284</v>
      </c>
      <c r="D137" s="8" t="s">
        <v>954</v>
      </c>
      <c r="E137" s="8">
        <v>0.57881037294888538</v>
      </c>
    </row>
    <row r="138" spans="1:5" ht="24.75" x14ac:dyDescent="0.25">
      <c r="A138" s="8" t="s">
        <v>338</v>
      </c>
      <c r="B138" s="8" t="s">
        <v>224</v>
      </c>
      <c r="C138" s="8" t="s">
        <v>284</v>
      </c>
      <c r="D138" s="8" t="s">
        <v>955</v>
      </c>
      <c r="E138" s="8">
        <v>1.5287000000000013</v>
      </c>
    </row>
    <row r="139" spans="1:5" ht="24.75" x14ac:dyDescent="0.25">
      <c r="A139" s="8" t="s">
        <v>338</v>
      </c>
      <c r="B139" s="8" t="s">
        <v>224</v>
      </c>
      <c r="C139" s="8" t="s">
        <v>284</v>
      </c>
      <c r="D139" s="8" t="s">
        <v>956</v>
      </c>
      <c r="E139" s="8">
        <v>1.9973998627778791</v>
      </c>
    </row>
    <row r="140" spans="1:5" ht="24.75" x14ac:dyDescent="0.25">
      <c r="A140" s="8" t="s">
        <v>338</v>
      </c>
      <c r="B140" s="8" t="s">
        <v>224</v>
      </c>
      <c r="C140" s="8" t="s">
        <v>284</v>
      </c>
      <c r="D140" s="8" t="s">
        <v>957</v>
      </c>
      <c r="E140" s="8">
        <v>0.96333562090779257</v>
      </c>
    </row>
    <row r="141" spans="1:5" ht="24.75" x14ac:dyDescent="0.25">
      <c r="A141" s="8" t="s">
        <v>338</v>
      </c>
      <c r="B141" s="8" t="s">
        <v>224</v>
      </c>
      <c r="C141" s="8" t="s">
        <v>284</v>
      </c>
      <c r="D141" s="8" t="s">
        <v>958</v>
      </c>
      <c r="E141" s="8">
        <v>0.31461691557413446</v>
      </c>
    </row>
    <row r="142" spans="1:5" ht="24.75" x14ac:dyDescent="0.25">
      <c r="A142" s="8" t="s">
        <v>338</v>
      </c>
      <c r="B142" s="8" t="s">
        <v>224</v>
      </c>
      <c r="C142" s="8" t="s">
        <v>284</v>
      </c>
      <c r="D142" s="8" t="s">
        <v>959</v>
      </c>
      <c r="E142" s="8">
        <v>0.86796437909220914</v>
      </c>
    </row>
    <row r="143" spans="1:5" ht="24.75" x14ac:dyDescent="0.25">
      <c r="A143" s="8" t="s">
        <v>338</v>
      </c>
      <c r="B143" s="8" t="s">
        <v>224</v>
      </c>
      <c r="C143" s="8" t="s">
        <v>284</v>
      </c>
      <c r="D143" s="8" t="s">
        <v>960</v>
      </c>
      <c r="E143" s="8">
        <v>0.25174562307433979</v>
      </c>
    </row>
    <row r="144" spans="1:5" ht="24.75" x14ac:dyDescent="0.25">
      <c r="A144" s="8" t="s">
        <v>338</v>
      </c>
      <c r="B144" s="8" t="s">
        <v>224</v>
      </c>
      <c r="C144" s="8" t="s">
        <v>284</v>
      </c>
      <c r="D144" s="8" t="s">
        <v>961</v>
      </c>
      <c r="E144" s="8">
        <v>1.9078558709783082</v>
      </c>
    </row>
    <row r="145" spans="1:5" ht="24.75" x14ac:dyDescent="0.25">
      <c r="A145" s="8" t="s">
        <v>338</v>
      </c>
      <c r="B145" s="8" t="s">
        <v>224</v>
      </c>
      <c r="C145" s="8" t="s">
        <v>284</v>
      </c>
      <c r="D145" s="8" t="s">
        <v>962</v>
      </c>
      <c r="E145" s="8">
        <v>0.74290145609857128</v>
      </c>
    </row>
    <row r="146" spans="1:5" ht="24.75" x14ac:dyDescent="0.25">
      <c r="A146" s="8" t="s">
        <v>338</v>
      </c>
      <c r="B146" s="8" t="s">
        <v>224</v>
      </c>
      <c r="C146" s="8" t="s">
        <v>284</v>
      </c>
      <c r="D146" s="8" t="s">
        <v>963</v>
      </c>
      <c r="E146" s="8">
        <v>0.57873707700636623</v>
      </c>
    </row>
    <row r="147" spans="1:5" ht="24.75" x14ac:dyDescent="0.25">
      <c r="A147" s="8" t="s">
        <v>338</v>
      </c>
      <c r="B147" s="8" t="s">
        <v>224</v>
      </c>
      <c r="C147" s="8" t="s">
        <v>284</v>
      </c>
      <c r="D147" s="8" t="s">
        <v>964</v>
      </c>
      <c r="E147" s="8">
        <v>1.5287000000000013</v>
      </c>
    </row>
    <row r="148" spans="1:5" ht="24.75" x14ac:dyDescent="0.25">
      <c r="A148" s="8" t="s">
        <v>338</v>
      </c>
      <c r="B148" s="8" t="s">
        <v>224</v>
      </c>
      <c r="C148" s="8" t="s">
        <v>284</v>
      </c>
      <c r="D148" s="8" t="s">
        <v>965</v>
      </c>
      <c r="E148" s="8">
        <v>1.9668100004970168</v>
      </c>
    </row>
    <row r="149" spans="1:5" ht="24.75" x14ac:dyDescent="0.25">
      <c r="A149" s="8" t="s">
        <v>338</v>
      </c>
      <c r="B149" s="8" t="s">
        <v>224</v>
      </c>
      <c r="C149" s="8" t="s">
        <v>284</v>
      </c>
      <c r="D149" s="8" t="s">
        <v>966</v>
      </c>
      <c r="E149" s="8">
        <v>0.82809999999999828</v>
      </c>
    </row>
    <row r="150" spans="1:5" ht="24.75" x14ac:dyDescent="0.25">
      <c r="A150" s="8" t="s">
        <v>338</v>
      </c>
      <c r="B150" s="8" t="s">
        <v>224</v>
      </c>
      <c r="C150" s="8" t="s">
        <v>284</v>
      </c>
      <c r="D150" s="8" t="s">
        <v>967</v>
      </c>
      <c r="E150" s="8">
        <v>0.24288093419125387</v>
      </c>
    </row>
    <row r="151" spans="1:5" ht="24.75" x14ac:dyDescent="0.25">
      <c r="A151" s="8" t="s">
        <v>338</v>
      </c>
      <c r="B151" s="8" t="s">
        <v>224</v>
      </c>
      <c r="C151" s="8" t="s">
        <v>284</v>
      </c>
      <c r="D151" s="8" t="s">
        <v>968</v>
      </c>
      <c r="E151" s="8">
        <v>0.8679643790922088</v>
      </c>
    </row>
    <row r="152" spans="1:5" ht="24.75" x14ac:dyDescent="0.25">
      <c r="A152" s="8" t="s">
        <v>338</v>
      </c>
      <c r="B152" s="8" t="s">
        <v>224</v>
      </c>
      <c r="C152" s="8" t="s">
        <v>284</v>
      </c>
      <c r="D152" s="8" t="s">
        <v>969</v>
      </c>
      <c r="E152" s="8">
        <v>0.11651000216654778</v>
      </c>
    </row>
    <row r="153" spans="1:5" ht="24.75" x14ac:dyDescent="0.25">
      <c r="A153" s="8" t="s">
        <v>338</v>
      </c>
      <c r="B153" s="8" t="s">
        <v>224</v>
      </c>
      <c r="C153" s="8" t="s">
        <v>284</v>
      </c>
      <c r="D153" s="8" t="s">
        <v>970</v>
      </c>
      <c r="E153" s="8">
        <v>1.8658734714901863</v>
      </c>
    </row>
    <row r="154" spans="1:5" ht="24.75" x14ac:dyDescent="0.25">
      <c r="A154" s="8" t="s">
        <v>338</v>
      </c>
      <c r="B154" s="8" t="s">
        <v>224</v>
      </c>
      <c r="C154" s="8" t="s">
        <v>284</v>
      </c>
      <c r="D154" s="8" t="s">
        <v>971</v>
      </c>
      <c r="E154" s="8">
        <v>0.85824562090779188</v>
      </c>
    </row>
    <row r="155" spans="1:5" ht="24.75" x14ac:dyDescent="0.25">
      <c r="A155" s="8" t="s">
        <v>338</v>
      </c>
      <c r="B155" s="8" t="s">
        <v>224</v>
      </c>
      <c r="C155" s="8" t="s">
        <v>284</v>
      </c>
      <c r="D155" s="8" t="s">
        <v>972</v>
      </c>
      <c r="E155" s="8">
        <v>0.55884562090779222</v>
      </c>
    </row>
    <row r="156" spans="1:5" ht="24.75" x14ac:dyDescent="0.25">
      <c r="A156" s="8" t="s">
        <v>338</v>
      </c>
      <c r="B156" s="8" t="s">
        <v>224</v>
      </c>
      <c r="C156" s="8" t="s">
        <v>284</v>
      </c>
      <c r="D156" s="8" t="s">
        <v>973</v>
      </c>
      <c r="E156" s="8">
        <v>1.6134848847457441</v>
      </c>
    </row>
    <row r="157" spans="1:5" ht="24.75" x14ac:dyDescent="0.25">
      <c r="A157" s="8" t="s">
        <v>338</v>
      </c>
      <c r="B157" s="8" t="s">
        <v>224</v>
      </c>
      <c r="C157" s="8" t="s">
        <v>284</v>
      </c>
      <c r="D157" s="8" t="s">
        <v>974</v>
      </c>
      <c r="E157" s="8">
        <v>1.8944156487955051</v>
      </c>
    </row>
    <row r="158" spans="1:5" ht="24.75" x14ac:dyDescent="0.25">
      <c r="A158" s="8" t="s">
        <v>338</v>
      </c>
      <c r="B158" s="8" t="s">
        <v>224</v>
      </c>
      <c r="C158" s="8" t="s">
        <v>284</v>
      </c>
      <c r="D158" s="8" t="s">
        <v>975</v>
      </c>
      <c r="E158" s="8">
        <v>1.0546972742081167</v>
      </c>
    </row>
    <row r="159" spans="1:5" ht="24.75" x14ac:dyDescent="0.25">
      <c r="A159" s="8" t="s">
        <v>338</v>
      </c>
      <c r="B159" s="8" t="s">
        <v>224</v>
      </c>
      <c r="C159" s="8" t="s">
        <v>284</v>
      </c>
      <c r="D159" s="8" t="s">
        <v>976</v>
      </c>
      <c r="E159" s="8">
        <v>1.1954874573047132</v>
      </c>
    </row>
    <row r="160" spans="1:5" ht="24.75" x14ac:dyDescent="0.25">
      <c r="A160" s="8" t="s">
        <v>338</v>
      </c>
      <c r="B160" s="8" t="s">
        <v>224</v>
      </c>
      <c r="C160" s="8" t="s">
        <v>284</v>
      </c>
      <c r="D160" s="8" t="s">
        <v>977</v>
      </c>
      <c r="E160" s="8">
        <v>0.95131944755980513</v>
      </c>
    </row>
    <row r="161" spans="1:5" ht="24.75" x14ac:dyDescent="0.25">
      <c r="A161" s="8" t="s">
        <v>338</v>
      </c>
      <c r="B161" s="8" t="s">
        <v>224</v>
      </c>
      <c r="C161" s="8" t="s">
        <v>284</v>
      </c>
      <c r="D161" s="8" t="s">
        <v>978</v>
      </c>
      <c r="E161" s="8">
        <v>0.90829989198418581</v>
      </c>
    </row>
    <row r="162" spans="1:5" ht="24.75" x14ac:dyDescent="0.25">
      <c r="A162" s="8" t="s">
        <v>338</v>
      </c>
      <c r="B162" s="8" t="s">
        <v>224</v>
      </c>
      <c r="C162" s="8" t="s">
        <v>284</v>
      </c>
      <c r="D162" s="8" t="s">
        <v>979</v>
      </c>
      <c r="E162" s="8">
        <v>0.23504623118624909</v>
      </c>
    </row>
    <row r="163" spans="1:5" ht="24.75" x14ac:dyDescent="0.25">
      <c r="A163" s="8" t="s">
        <v>338</v>
      </c>
      <c r="B163" s="8" t="s">
        <v>224</v>
      </c>
      <c r="C163" s="8" t="s">
        <v>284</v>
      </c>
      <c r="D163" s="8" t="s">
        <v>980</v>
      </c>
      <c r="E163" s="8">
        <v>1.1270099999999996</v>
      </c>
    </row>
    <row r="164" spans="1:5" ht="24.75" x14ac:dyDescent="0.25">
      <c r="A164" s="8" t="s">
        <v>338</v>
      </c>
      <c r="B164" s="8" t="s">
        <v>224</v>
      </c>
      <c r="C164" s="8" t="s">
        <v>284</v>
      </c>
      <c r="D164" s="8" t="s">
        <v>981</v>
      </c>
      <c r="E164" s="8">
        <v>0.78686181921898568</v>
      </c>
    </row>
    <row r="165" spans="1:5" ht="24.75" x14ac:dyDescent="0.25">
      <c r="A165" s="8" t="s">
        <v>338</v>
      </c>
      <c r="B165" s="8" t="s">
        <v>224</v>
      </c>
      <c r="C165" s="8" t="s">
        <v>284</v>
      </c>
      <c r="D165" s="8" t="s">
        <v>982</v>
      </c>
      <c r="E165" s="8">
        <v>0.27034824907087368</v>
      </c>
    </row>
    <row r="166" spans="1:5" ht="24.75" x14ac:dyDescent="0.25">
      <c r="A166" s="8" t="s">
        <v>338</v>
      </c>
      <c r="B166" s="8" t="s">
        <v>224</v>
      </c>
      <c r="C166" s="8" t="s">
        <v>284</v>
      </c>
      <c r="D166" s="8" t="s">
        <v>983</v>
      </c>
      <c r="E166" s="8">
        <v>0.90514801689047442</v>
      </c>
    </row>
    <row r="167" spans="1:5" ht="24.75" x14ac:dyDescent="0.25">
      <c r="A167" s="8" t="s">
        <v>338</v>
      </c>
      <c r="B167" s="8" t="s">
        <v>224</v>
      </c>
      <c r="C167" s="8" t="s">
        <v>284</v>
      </c>
      <c r="D167" s="8" t="s">
        <v>984</v>
      </c>
      <c r="E167" s="8">
        <v>0.17565268209877652</v>
      </c>
    </row>
    <row r="168" spans="1:5" ht="24.75" x14ac:dyDescent="0.25">
      <c r="A168" s="8" t="s">
        <v>338</v>
      </c>
      <c r="B168" s="8" t="s">
        <v>224</v>
      </c>
      <c r="C168" s="8" t="s">
        <v>284</v>
      </c>
      <c r="D168" s="8" t="s">
        <v>985</v>
      </c>
      <c r="E168" s="8">
        <v>1.3570100000000027</v>
      </c>
    </row>
    <row r="169" spans="1:5" ht="24.75" x14ac:dyDescent="0.25">
      <c r="A169" s="8" t="s">
        <v>338</v>
      </c>
      <c r="B169" s="8" t="s">
        <v>224</v>
      </c>
      <c r="C169" s="8" t="s">
        <v>284</v>
      </c>
      <c r="D169" s="8" t="s">
        <v>986</v>
      </c>
      <c r="E169" s="8">
        <v>0.98569999999998381</v>
      </c>
    </row>
    <row r="170" spans="1:5" ht="24.75" x14ac:dyDescent="0.25">
      <c r="A170" s="8" t="s">
        <v>338</v>
      </c>
      <c r="B170" s="8" t="s">
        <v>224</v>
      </c>
      <c r="C170" s="8" t="s">
        <v>284</v>
      </c>
      <c r="D170" s="8" t="s">
        <v>987</v>
      </c>
      <c r="E170" s="8">
        <v>0.70900000216655001</v>
      </c>
    </row>
    <row r="171" spans="1:5" ht="24.75" x14ac:dyDescent="0.25">
      <c r="A171" s="8" t="s">
        <v>338</v>
      </c>
      <c r="B171" s="8" t="s">
        <v>224</v>
      </c>
      <c r="C171" s="8" t="s">
        <v>284</v>
      </c>
      <c r="D171" s="8" t="s">
        <v>988</v>
      </c>
      <c r="E171" s="8">
        <v>0.98569999999998381</v>
      </c>
    </row>
    <row r="172" spans="1:5" ht="24.75" x14ac:dyDescent="0.25">
      <c r="A172" s="8" t="s">
        <v>338</v>
      </c>
      <c r="B172" s="8" t="s">
        <v>224</v>
      </c>
      <c r="C172" s="8" t="s">
        <v>284</v>
      </c>
      <c r="D172" s="8" t="s">
        <v>989</v>
      </c>
      <c r="E172" s="8">
        <v>0.67811518626661416</v>
      </c>
    </row>
    <row r="173" spans="1:5" ht="24.75" x14ac:dyDescent="0.25">
      <c r="A173" s="8" t="s">
        <v>338</v>
      </c>
      <c r="B173" s="8" t="s">
        <v>224</v>
      </c>
      <c r="C173" s="8" t="s">
        <v>284</v>
      </c>
      <c r="D173" s="8" t="s">
        <v>990</v>
      </c>
      <c r="E173" s="8">
        <v>0.87710946448747595</v>
      </c>
    </row>
    <row r="174" spans="1:5" ht="24.75" x14ac:dyDescent="0.25">
      <c r="A174" s="8" t="s">
        <v>338</v>
      </c>
      <c r="B174" s="8" t="s">
        <v>224</v>
      </c>
      <c r="C174" s="8" t="s">
        <v>284</v>
      </c>
      <c r="D174" s="8" t="s">
        <v>991</v>
      </c>
      <c r="E174" s="8">
        <v>1.1530076381784955</v>
      </c>
    </row>
    <row r="175" spans="1:5" ht="24.75" x14ac:dyDescent="0.25">
      <c r="A175" s="8" t="s">
        <v>338</v>
      </c>
      <c r="B175" s="8" t="s">
        <v>224</v>
      </c>
      <c r="C175" s="8" t="s">
        <v>284</v>
      </c>
      <c r="D175" s="8" t="s">
        <v>992</v>
      </c>
      <c r="E175" s="8">
        <v>2.3153993847904535</v>
      </c>
    </row>
    <row r="176" spans="1:5" ht="24.75" x14ac:dyDescent="0.25">
      <c r="A176" s="8" t="s">
        <v>338</v>
      </c>
      <c r="B176" s="8" t="s">
        <v>224</v>
      </c>
      <c r="C176" s="8" t="s">
        <v>284</v>
      </c>
      <c r="D176" s="8" t="s">
        <v>993</v>
      </c>
      <c r="E176" s="8">
        <v>0.51674067871492446</v>
      </c>
    </row>
    <row r="177" spans="1:5" ht="24.75" x14ac:dyDescent="0.25">
      <c r="A177" s="8" t="s">
        <v>338</v>
      </c>
      <c r="B177" s="8" t="s">
        <v>224</v>
      </c>
      <c r="C177" s="8" t="s">
        <v>284</v>
      </c>
      <c r="D177" s="8" t="s">
        <v>994</v>
      </c>
      <c r="E177" s="8">
        <v>0.78686181921898735</v>
      </c>
    </row>
    <row r="178" spans="1:5" ht="24.75" x14ac:dyDescent="0.25">
      <c r="A178" s="8" t="s">
        <v>338</v>
      </c>
      <c r="B178" s="8" t="s">
        <v>224</v>
      </c>
      <c r="C178" s="8" t="s">
        <v>284</v>
      </c>
      <c r="D178" s="8" t="s">
        <v>995</v>
      </c>
      <c r="E178" s="8">
        <v>0.27034824907087379</v>
      </c>
    </row>
    <row r="179" spans="1:5" ht="24.75" x14ac:dyDescent="0.25">
      <c r="A179" s="8" t="s">
        <v>338</v>
      </c>
      <c r="B179" s="8" t="s">
        <v>224</v>
      </c>
      <c r="C179" s="8" t="s">
        <v>284</v>
      </c>
      <c r="D179" s="8" t="s">
        <v>996</v>
      </c>
      <c r="E179" s="8">
        <v>0.87265801689047429</v>
      </c>
    </row>
    <row r="180" spans="1:5" ht="24.75" x14ac:dyDescent="0.25">
      <c r="A180" s="8" t="s">
        <v>338</v>
      </c>
      <c r="B180" s="8" t="s">
        <v>224</v>
      </c>
      <c r="C180" s="8" t="s">
        <v>284</v>
      </c>
      <c r="D180" s="8" t="s">
        <v>997</v>
      </c>
      <c r="E180" s="8">
        <v>1.0970100000000009</v>
      </c>
    </row>
    <row r="181" spans="1:5" ht="24.75" x14ac:dyDescent="0.25">
      <c r="A181" s="8" t="s">
        <v>338</v>
      </c>
      <c r="B181" s="8" t="s">
        <v>224</v>
      </c>
      <c r="C181" s="8" t="s">
        <v>284</v>
      </c>
      <c r="D181" s="8" t="s">
        <v>998</v>
      </c>
      <c r="E181" s="8">
        <v>4.3449445867809071E-2</v>
      </c>
    </row>
    <row r="182" spans="1:5" ht="24.75" x14ac:dyDescent="0.25">
      <c r="A182" s="8" t="s">
        <v>338</v>
      </c>
      <c r="B182" s="8" t="s">
        <v>224</v>
      </c>
      <c r="C182" s="8" t="s">
        <v>284</v>
      </c>
      <c r="D182" s="8" t="s">
        <v>999</v>
      </c>
      <c r="E182" s="8">
        <v>1.4870100000000108</v>
      </c>
    </row>
    <row r="183" spans="1:5" ht="24.75" x14ac:dyDescent="0.25">
      <c r="A183" s="8" t="s">
        <v>338</v>
      </c>
      <c r="B183" s="8" t="s">
        <v>224</v>
      </c>
      <c r="C183" s="8" t="s">
        <v>284</v>
      </c>
      <c r="D183" s="8" t="s">
        <v>1000</v>
      </c>
      <c r="E183" s="8">
        <v>0.97896847984597279</v>
      </c>
    </row>
    <row r="184" spans="1:5" ht="24.75" x14ac:dyDescent="0.25">
      <c r="A184" s="8" t="s">
        <v>338</v>
      </c>
      <c r="B184" s="8" t="s">
        <v>224</v>
      </c>
      <c r="C184" s="8" t="s">
        <v>284</v>
      </c>
      <c r="D184" s="8" t="s">
        <v>1001</v>
      </c>
      <c r="E184" s="8">
        <v>0.8457315223205697</v>
      </c>
    </row>
    <row r="185" spans="1:5" ht="24.75" x14ac:dyDescent="0.25">
      <c r="A185" s="8" t="s">
        <v>338</v>
      </c>
      <c r="B185" s="8" t="s">
        <v>224</v>
      </c>
      <c r="C185" s="8" t="s">
        <v>284</v>
      </c>
      <c r="D185" s="8" t="s">
        <v>1002</v>
      </c>
      <c r="E185" s="8">
        <v>0.98569999999998381</v>
      </c>
    </row>
    <row r="186" spans="1:5" ht="24.75" x14ac:dyDescent="0.25">
      <c r="A186" s="8" t="s">
        <v>338</v>
      </c>
      <c r="B186" s="8" t="s">
        <v>224</v>
      </c>
      <c r="C186" s="8" t="s">
        <v>284</v>
      </c>
      <c r="D186" s="8" t="s">
        <v>1003</v>
      </c>
      <c r="E186" s="8">
        <v>0.80811518626662315</v>
      </c>
    </row>
    <row r="187" spans="1:5" ht="24.75" x14ac:dyDescent="0.25">
      <c r="A187" s="8" t="s">
        <v>338</v>
      </c>
      <c r="B187" s="8" t="s">
        <v>224</v>
      </c>
      <c r="C187" s="8" t="s">
        <v>284</v>
      </c>
      <c r="D187" s="8" t="s">
        <v>1004</v>
      </c>
      <c r="E187" s="8">
        <v>0.87710946448747729</v>
      </c>
    </row>
    <row r="188" spans="1:5" ht="24.75" x14ac:dyDescent="0.25">
      <c r="A188" s="8" t="s">
        <v>338</v>
      </c>
      <c r="B188" s="8" t="s">
        <v>224</v>
      </c>
      <c r="C188" s="8" t="s">
        <v>284</v>
      </c>
      <c r="D188" s="8" t="s">
        <v>1005</v>
      </c>
      <c r="E188" s="8">
        <v>1.2633356209077888</v>
      </c>
    </row>
    <row r="189" spans="1:5" ht="24.75" x14ac:dyDescent="0.25">
      <c r="A189" s="8" t="s">
        <v>338</v>
      </c>
      <c r="B189" s="8" t="s">
        <v>224</v>
      </c>
      <c r="C189" s="8" t="s">
        <v>284</v>
      </c>
      <c r="D189" s="8" t="s">
        <v>1006</v>
      </c>
      <c r="E189" s="8">
        <v>0.2594662875123665</v>
      </c>
    </row>
    <row r="190" spans="1:5" ht="24.75" x14ac:dyDescent="0.25">
      <c r="A190" s="8" t="s">
        <v>338</v>
      </c>
      <c r="B190" s="8" t="s">
        <v>224</v>
      </c>
      <c r="C190" s="8" t="s">
        <v>284</v>
      </c>
      <c r="D190" s="8" t="s">
        <v>1007</v>
      </c>
      <c r="E190" s="8">
        <v>0.86796437909220936</v>
      </c>
    </row>
    <row r="191" spans="1:5" ht="24.75" x14ac:dyDescent="0.25">
      <c r="A191" s="8" t="s">
        <v>338</v>
      </c>
      <c r="B191" s="8" t="s">
        <v>224</v>
      </c>
      <c r="C191" s="8" t="s">
        <v>284</v>
      </c>
      <c r="D191" s="8" t="s">
        <v>1008</v>
      </c>
      <c r="E191" s="8">
        <v>0.55174562307433983</v>
      </c>
    </row>
    <row r="192" spans="1:5" ht="24.75" x14ac:dyDescent="0.25">
      <c r="A192" s="8" t="s">
        <v>338</v>
      </c>
      <c r="B192" s="8" t="s">
        <v>224</v>
      </c>
      <c r="C192" s="8" t="s">
        <v>284</v>
      </c>
      <c r="D192" s="8" t="s">
        <v>1009</v>
      </c>
      <c r="E192" s="8">
        <v>0.441135</v>
      </c>
    </row>
    <row r="193" spans="1:5" ht="24.75" x14ac:dyDescent="0.25">
      <c r="A193" s="8" t="s">
        <v>338</v>
      </c>
      <c r="B193" s="8" t="s">
        <v>224</v>
      </c>
      <c r="C193" s="8" t="s">
        <v>284</v>
      </c>
      <c r="D193" s="8" t="s">
        <v>1010</v>
      </c>
      <c r="E193" s="8">
        <v>1.8760114568680835</v>
      </c>
    </row>
    <row r="194" spans="1:5" ht="24.75" x14ac:dyDescent="0.25">
      <c r="A194" s="8" t="s">
        <v>338</v>
      </c>
      <c r="B194" s="8" t="s">
        <v>224</v>
      </c>
      <c r="C194" s="8" t="s">
        <v>284</v>
      </c>
      <c r="D194" s="8" t="s">
        <v>1011</v>
      </c>
      <c r="E194" s="8">
        <v>0.55697062090779204</v>
      </c>
    </row>
    <row r="195" spans="1:5" ht="24.75" x14ac:dyDescent="0.25">
      <c r="A195" s="8" t="s">
        <v>338</v>
      </c>
      <c r="B195" s="8" t="s">
        <v>224</v>
      </c>
      <c r="C195" s="8" t="s">
        <v>284</v>
      </c>
      <c r="D195" s="8" t="s">
        <v>1012</v>
      </c>
      <c r="E195" s="8">
        <v>1.55951036971705</v>
      </c>
    </row>
    <row r="196" spans="1:5" ht="24.75" x14ac:dyDescent="0.25">
      <c r="A196" s="8" t="s">
        <v>338</v>
      </c>
      <c r="B196" s="8" t="s">
        <v>224</v>
      </c>
      <c r="C196" s="8" t="s">
        <v>284</v>
      </c>
      <c r="D196" s="8" t="s">
        <v>1013</v>
      </c>
      <c r="E196" s="8">
        <v>0.85293532470182742</v>
      </c>
    </row>
    <row r="197" spans="1:5" ht="24.75" x14ac:dyDescent="0.25">
      <c r="A197" s="8" t="s">
        <v>338</v>
      </c>
      <c r="B197" s="8" t="s">
        <v>224</v>
      </c>
      <c r="C197" s="8" t="s">
        <v>284</v>
      </c>
      <c r="D197" s="8" t="s">
        <v>1014</v>
      </c>
      <c r="E197" s="8">
        <v>0.71860132218832773</v>
      </c>
    </row>
    <row r="198" spans="1:5" ht="24.75" x14ac:dyDescent="0.25">
      <c r="A198" s="8" t="s">
        <v>338</v>
      </c>
      <c r="B198" s="8" t="s">
        <v>224</v>
      </c>
      <c r="C198" s="8" t="s">
        <v>284</v>
      </c>
      <c r="D198" s="8" t="s">
        <v>1015</v>
      </c>
      <c r="E198" s="8">
        <v>0.63295286752040436</v>
      </c>
    </row>
    <row r="199" spans="1:5" ht="24.75" x14ac:dyDescent="0.25">
      <c r="A199" s="8" t="s">
        <v>338</v>
      </c>
      <c r="B199" s="8" t="s">
        <v>224</v>
      </c>
      <c r="C199" s="8" t="s">
        <v>284</v>
      </c>
      <c r="D199" s="8" t="s">
        <v>1016</v>
      </c>
      <c r="E199" s="8">
        <v>0.36843532004523916</v>
      </c>
    </row>
    <row r="200" spans="1:5" ht="24.75" x14ac:dyDescent="0.25">
      <c r="A200" s="8" t="s">
        <v>338</v>
      </c>
      <c r="B200" s="8" t="s">
        <v>224</v>
      </c>
      <c r="C200" s="8" t="s">
        <v>284</v>
      </c>
      <c r="D200" s="8" t="s">
        <v>1017</v>
      </c>
      <c r="E200" s="8">
        <v>1.1190099999999998</v>
      </c>
    </row>
    <row r="201" spans="1:5" ht="24.75" x14ac:dyDescent="0.25">
      <c r="A201" s="8" t="s">
        <v>338</v>
      </c>
      <c r="B201" s="8" t="s">
        <v>224</v>
      </c>
      <c r="C201" s="8" t="s">
        <v>284</v>
      </c>
      <c r="D201" s="8" t="s">
        <v>1018</v>
      </c>
      <c r="E201" s="8">
        <v>0.34329999999999034</v>
      </c>
    </row>
    <row r="202" spans="1:5" ht="24.75" x14ac:dyDescent="0.25">
      <c r="A202" s="8" t="s">
        <v>338</v>
      </c>
      <c r="B202" s="8" t="s">
        <v>224</v>
      </c>
      <c r="C202" s="8" t="s">
        <v>284</v>
      </c>
      <c r="D202" s="8" t="s">
        <v>1019</v>
      </c>
      <c r="E202" s="8">
        <v>0.45432312696478466</v>
      </c>
    </row>
    <row r="203" spans="1:5" ht="24.75" x14ac:dyDescent="0.25">
      <c r="A203" s="8" t="s">
        <v>338</v>
      </c>
      <c r="B203" s="8" t="s">
        <v>224</v>
      </c>
      <c r="C203" s="8" t="s">
        <v>284</v>
      </c>
      <c r="D203" s="8" t="s">
        <v>1020</v>
      </c>
      <c r="E203" s="8">
        <v>1.1295000000000031</v>
      </c>
    </row>
    <row r="204" spans="1:5" ht="24.75" x14ac:dyDescent="0.25">
      <c r="A204" s="8" t="s">
        <v>338</v>
      </c>
      <c r="B204" s="8" t="s">
        <v>224</v>
      </c>
      <c r="C204" s="8" t="s">
        <v>284</v>
      </c>
      <c r="D204" s="8" t="s">
        <v>1021</v>
      </c>
      <c r="E204" s="8">
        <v>0.17294570241669247</v>
      </c>
    </row>
    <row r="205" spans="1:5" ht="24.75" x14ac:dyDescent="0.25">
      <c r="A205" s="8" t="s">
        <v>338</v>
      </c>
      <c r="B205" s="8" t="s">
        <v>224</v>
      </c>
      <c r="C205" s="8" t="s">
        <v>284</v>
      </c>
      <c r="D205" s="8" t="s">
        <v>1022</v>
      </c>
      <c r="E205" s="8">
        <v>0.84152671249879507</v>
      </c>
    </row>
    <row r="206" spans="1:5" ht="24.75" x14ac:dyDescent="0.25">
      <c r="A206" s="8" t="s">
        <v>338</v>
      </c>
      <c r="B206" s="8" t="s">
        <v>224</v>
      </c>
      <c r="C206" s="8" t="s">
        <v>284</v>
      </c>
      <c r="D206" s="8" t="s">
        <v>1023</v>
      </c>
      <c r="E206" s="8">
        <v>1.9213397247669644</v>
      </c>
    </row>
    <row r="207" spans="1:5" ht="24.75" x14ac:dyDescent="0.25">
      <c r="A207" s="8" t="s">
        <v>338</v>
      </c>
      <c r="B207" s="8" t="s">
        <v>224</v>
      </c>
      <c r="C207" s="8" t="s">
        <v>284</v>
      </c>
      <c r="D207" s="8" t="s">
        <v>1024</v>
      </c>
      <c r="E207" s="8">
        <v>1.0970100000000007</v>
      </c>
    </row>
    <row r="208" spans="1:5" ht="24.75" x14ac:dyDescent="0.25">
      <c r="A208" s="8" t="s">
        <v>338</v>
      </c>
      <c r="B208" s="8" t="s">
        <v>224</v>
      </c>
      <c r="C208" s="8" t="s">
        <v>284</v>
      </c>
      <c r="D208" s="8" t="s">
        <v>1025</v>
      </c>
      <c r="E208" s="8">
        <v>0.31770999999999988</v>
      </c>
    </row>
    <row r="209" spans="1:5" ht="24.75" x14ac:dyDescent="0.25">
      <c r="A209" s="8" t="s">
        <v>338</v>
      </c>
      <c r="B209" s="8" t="s">
        <v>224</v>
      </c>
      <c r="C209" s="8" t="s">
        <v>284</v>
      </c>
      <c r="D209" s="8" t="s">
        <v>1026</v>
      </c>
      <c r="E209" s="8">
        <v>0.28594532470182815</v>
      </c>
    </row>
    <row r="210" spans="1:5" ht="24.75" x14ac:dyDescent="0.25">
      <c r="A210" s="8" t="s">
        <v>338</v>
      </c>
      <c r="B210" s="8" t="s">
        <v>224</v>
      </c>
      <c r="C210" s="8" t="s">
        <v>284</v>
      </c>
      <c r="D210" s="8" t="s">
        <v>1027</v>
      </c>
      <c r="E210" s="8">
        <v>1.0970100000000016</v>
      </c>
    </row>
    <row r="211" spans="1:5" ht="24.75" x14ac:dyDescent="0.25">
      <c r="A211" s="8" t="s">
        <v>338</v>
      </c>
      <c r="B211" s="8" t="s">
        <v>224</v>
      </c>
      <c r="C211" s="8" t="s">
        <v>284</v>
      </c>
      <c r="D211" s="8" t="s">
        <v>1028</v>
      </c>
      <c r="E211" s="8">
        <v>6.7709999999996093E-2</v>
      </c>
    </row>
    <row r="212" spans="1:5" ht="24.75" x14ac:dyDescent="0.25">
      <c r="A212" s="8" t="s">
        <v>338</v>
      </c>
      <c r="B212" s="8" t="s">
        <v>224</v>
      </c>
      <c r="C212" s="8" t="s">
        <v>284</v>
      </c>
      <c r="D212" s="8" t="s">
        <v>1029</v>
      </c>
      <c r="E212" s="8">
        <v>1.5353353007829589</v>
      </c>
    </row>
    <row r="213" spans="1:5" ht="24.75" x14ac:dyDescent="0.25">
      <c r="A213" s="8" t="s">
        <v>338</v>
      </c>
      <c r="B213" s="8" t="s">
        <v>224</v>
      </c>
      <c r="C213" s="8" t="s">
        <v>284</v>
      </c>
      <c r="D213" s="8" t="s">
        <v>1030</v>
      </c>
      <c r="E213" s="8">
        <v>0.18025633779234546</v>
      </c>
    </row>
    <row r="214" spans="1:5" ht="24.75" x14ac:dyDescent="0.25">
      <c r="A214" s="8" t="s">
        <v>338</v>
      </c>
      <c r="B214" s="8" t="s">
        <v>224</v>
      </c>
      <c r="C214" s="8" t="s">
        <v>284</v>
      </c>
      <c r="D214" s="8" t="s">
        <v>1031</v>
      </c>
      <c r="E214" s="8">
        <v>1.0970100000000007</v>
      </c>
    </row>
    <row r="215" spans="1:5" ht="24.75" x14ac:dyDescent="0.25">
      <c r="A215" s="8" t="s">
        <v>338</v>
      </c>
      <c r="B215" s="8" t="s">
        <v>224</v>
      </c>
      <c r="C215" s="8" t="s">
        <v>284</v>
      </c>
      <c r="D215" s="8" t="s">
        <v>1032</v>
      </c>
      <c r="E215" s="8">
        <v>8.3960000000004309E-2</v>
      </c>
    </row>
    <row r="216" spans="1:5" ht="24.75" x14ac:dyDescent="0.25">
      <c r="A216" s="8" t="s">
        <v>338</v>
      </c>
      <c r="B216" s="8" t="s">
        <v>224</v>
      </c>
      <c r="C216" s="8" t="s">
        <v>284</v>
      </c>
      <c r="D216" s="8" t="s">
        <v>1033</v>
      </c>
      <c r="E216" s="8">
        <v>0.21572262631967196</v>
      </c>
    </row>
    <row r="217" spans="1:5" ht="24.75" x14ac:dyDescent="0.25">
      <c r="A217" s="8" t="s">
        <v>338</v>
      </c>
      <c r="B217" s="8" t="s">
        <v>224</v>
      </c>
      <c r="C217" s="8" t="s">
        <v>284</v>
      </c>
      <c r="D217" s="8" t="s">
        <v>1034</v>
      </c>
      <c r="E217" s="8">
        <v>0.14891348797881798</v>
      </c>
    </row>
    <row r="218" spans="1:5" ht="24.75" x14ac:dyDescent="0.25">
      <c r="A218" s="8" t="s">
        <v>338</v>
      </c>
      <c r="B218" s="8" t="s">
        <v>224</v>
      </c>
      <c r="C218" s="8" t="s">
        <v>284</v>
      </c>
      <c r="D218" s="8" t="s">
        <v>1035</v>
      </c>
      <c r="E218" s="8">
        <v>1.1287000000000005</v>
      </c>
    </row>
    <row r="219" spans="1:5" ht="24.75" x14ac:dyDescent="0.25">
      <c r="A219" s="8" t="s">
        <v>338</v>
      </c>
      <c r="B219" s="8" t="s">
        <v>224</v>
      </c>
      <c r="C219" s="8" t="s">
        <v>284</v>
      </c>
      <c r="D219" s="8" t="s">
        <v>1036</v>
      </c>
      <c r="E219" s="8">
        <v>1.9054105060960695</v>
      </c>
    </row>
    <row r="220" spans="1:5" ht="24.75" x14ac:dyDescent="0.25">
      <c r="A220" s="8" t="s">
        <v>338</v>
      </c>
      <c r="B220" s="8" t="s">
        <v>224</v>
      </c>
      <c r="C220" s="8" t="s">
        <v>284</v>
      </c>
      <c r="D220" s="8" t="s">
        <v>1037</v>
      </c>
      <c r="E220" s="8">
        <v>0.78120939202344408</v>
      </c>
    </row>
    <row r="221" spans="1:5" ht="24.75" x14ac:dyDescent="0.25">
      <c r="A221" s="8" t="s">
        <v>338</v>
      </c>
      <c r="B221" s="8" t="s">
        <v>224</v>
      </c>
      <c r="C221" s="8" t="s">
        <v>284</v>
      </c>
      <c r="D221" s="8" t="s">
        <v>1038</v>
      </c>
      <c r="E221" s="8">
        <v>1.9053427676148751</v>
      </c>
    </row>
    <row r="222" spans="1:5" ht="24.75" x14ac:dyDescent="0.25">
      <c r="A222" s="8" t="s">
        <v>338</v>
      </c>
      <c r="B222" s="8" t="s">
        <v>224</v>
      </c>
      <c r="C222" s="8" t="s">
        <v>284</v>
      </c>
      <c r="D222" s="8" t="s">
        <v>1039</v>
      </c>
      <c r="E222" s="8">
        <v>0.27770999999999901</v>
      </c>
    </row>
    <row r="223" spans="1:5" ht="24.75" x14ac:dyDescent="0.25">
      <c r="A223" s="8" t="s">
        <v>338</v>
      </c>
      <c r="B223" s="8" t="s">
        <v>224</v>
      </c>
      <c r="C223" s="8" t="s">
        <v>284</v>
      </c>
      <c r="D223" s="8" t="s">
        <v>1040</v>
      </c>
      <c r="E223" s="8">
        <v>0.78608883569183718</v>
      </c>
    </row>
    <row r="224" spans="1:5" ht="24.75" x14ac:dyDescent="0.25">
      <c r="A224" s="8" t="s">
        <v>338</v>
      </c>
      <c r="B224" s="8" t="s">
        <v>224</v>
      </c>
      <c r="C224" s="8" t="s">
        <v>284</v>
      </c>
      <c r="D224" s="8" t="s">
        <v>1041</v>
      </c>
      <c r="E224" s="8">
        <v>1.0970100000000005</v>
      </c>
    </row>
    <row r="225" spans="1:5" ht="24.75" x14ac:dyDescent="0.25">
      <c r="A225" s="8" t="s">
        <v>338</v>
      </c>
      <c r="B225" s="8" t="s">
        <v>224</v>
      </c>
      <c r="C225" s="8" t="s">
        <v>284</v>
      </c>
      <c r="D225" s="8" t="s">
        <v>1042</v>
      </c>
      <c r="E225" s="8">
        <v>1.9048556716819811</v>
      </c>
    </row>
    <row r="226" spans="1:5" ht="24.75" x14ac:dyDescent="0.25">
      <c r="A226" s="8" t="s">
        <v>338</v>
      </c>
      <c r="B226" s="8" t="s">
        <v>224</v>
      </c>
      <c r="C226" s="8" t="s">
        <v>284</v>
      </c>
      <c r="D226" s="8" t="s">
        <v>1043</v>
      </c>
      <c r="E226" s="8">
        <v>0.27770999999999901</v>
      </c>
    </row>
    <row r="227" spans="1:5" ht="24.75" x14ac:dyDescent="0.25">
      <c r="A227" s="8" t="s">
        <v>338</v>
      </c>
      <c r="B227" s="8" t="s">
        <v>224</v>
      </c>
      <c r="C227" s="8" t="s">
        <v>284</v>
      </c>
      <c r="D227" s="8" t="s">
        <v>1044</v>
      </c>
      <c r="E227" s="8">
        <v>0.78608883569183885</v>
      </c>
    </row>
    <row r="228" spans="1:5" ht="24.75" x14ac:dyDescent="0.25">
      <c r="A228" s="8" t="s">
        <v>338</v>
      </c>
      <c r="B228" s="8" t="s">
        <v>224</v>
      </c>
      <c r="C228" s="8" t="s">
        <v>284</v>
      </c>
      <c r="D228" s="8" t="s">
        <v>1045</v>
      </c>
      <c r="E228" s="8">
        <v>1.0970100000000005</v>
      </c>
    </row>
    <row r="229" spans="1:5" ht="24.75" x14ac:dyDescent="0.25">
      <c r="A229" s="8" t="s">
        <v>338</v>
      </c>
      <c r="B229" s="8" t="s">
        <v>224</v>
      </c>
      <c r="C229" s="8" t="s">
        <v>284</v>
      </c>
      <c r="D229" s="8" t="s">
        <v>1046</v>
      </c>
      <c r="E229" s="8">
        <v>1.4970100000000006</v>
      </c>
    </row>
    <row r="230" spans="1:5" ht="24.75" x14ac:dyDescent="0.25">
      <c r="A230" s="8" t="s">
        <v>338</v>
      </c>
      <c r="B230" s="8" t="s">
        <v>224</v>
      </c>
      <c r="C230" s="8" t="s">
        <v>284</v>
      </c>
      <c r="D230" s="8" t="s">
        <v>1047</v>
      </c>
      <c r="E230" s="8">
        <v>1.9512468896585895</v>
      </c>
    </row>
    <row r="231" spans="1:5" ht="24.75" x14ac:dyDescent="0.25">
      <c r="A231" s="8" t="s">
        <v>338</v>
      </c>
      <c r="B231" s="8" t="s">
        <v>224</v>
      </c>
      <c r="C231" s="8" t="s">
        <v>284</v>
      </c>
      <c r="D231" s="8" t="s">
        <v>1048</v>
      </c>
      <c r="E231" s="8">
        <v>0.44272971551851814</v>
      </c>
    </row>
    <row r="232" spans="1:5" ht="24.75" x14ac:dyDescent="0.25">
      <c r="A232" s="8" t="s">
        <v>338</v>
      </c>
      <c r="B232" s="8" t="s">
        <v>224</v>
      </c>
      <c r="C232" s="8" t="s">
        <v>284</v>
      </c>
      <c r="D232" s="8" t="s">
        <v>1049</v>
      </c>
      <c r="E232" s="8">
        <v>1.5487000000000009</v>
      </c>
    </row>
    <row r="233" spans="1:5" ht="24.75" x14ac:dyDescent="0.25">
      <c r="A233" s="8" t="s">
        <v>338</v>
      </c>
      <c r="B233" s="8" t="s">
        <v>224</v>
      </c>
      <c r="C233" s="8" t="s">
        <v>284</v>
      </c>
      <c r="D233" s="8" t="s">
        <v>1050</v>
      </c>
      <c r="E233" s="8">
        <v>1.9487545263052342</v>
      </c>
    </row>
    <row r="234" spans="1:5" ht="24.75" x14ac:dyDescent="0.25">
      <c r="A234" s="8" t="s">
        <v>338</v>
      </c>
      <c r="B234" s="8" t="s">
        <v>224</v>
      </c>
      <c r="C234" s="8" t="s">
        <v>284</v>
      </c>
      <c r="D234" s="8" t="s">
        <v>1051</v>
      </c>
      <c r="E234" s="8">
        <v>0.44025184981224352</v>
      </c>
    </row>
    <row r="235" spans="1:5" ht="24.75" x14ac:dyDescent="0.25">
      <c r="A235" s="8" t="s">
        <v>338</v>
      </c>
      <c r="B235" s="8" t="s">
        <v>224</v>
      </c>
      <c r="C235" s="8" t="s">
        <v>284</v>
      </c>
      <c r="D235" s="8" t="s">
        <v>1052</v>
      </c>
      <c r="E235" s="8">
        <v>1.5170100000000006</v>
      </c>
    </row>
    <row r="236" spans="1:5" ht="24.75" x14ac:dyDescent="0.25">
      <c r="A236" s="8" t="s">
        <v>338</v>
      </c>
      <c r="B236" s="8" t="s">
        <v>224</v>
      </c>
      <c r="C236" s="8" t="s">
        <v>284</v>
      </c>
      <c r="D236" s="8" t="s">
        <v>1053</v>
      </c>
      <c r="E236" s="8">
        <v>1.9487967645657454</v>
      </c>
    </row>
    <row r="237" spans="1:5" ht="24.75" x14ac:dyDescent="0.25">
      <c r="A237" s="8" t="s">
        <v>338</v>
      </c>
      <c r="B237" s="8" t="s">
        <v>224</v>
      </c>
      <c r="C237" s="8" t="s">
        <v>284</v>
      </c>
      <c r="D237" s="8" t="s">
        <v>1054</v>
      </c>
      <c r="E237" s="8">
        <v>0.40530303928994493</v>
      </c>
    </row>
    <row r="238" spans="1:5" ht="24.75" x14ac:dyDescent="0.25">
      <c r="A238" s="8" t="s">
        <v>338</v>
      </c>
      <c r="B238" s="8" t="s">
        <v>224</v>
      </c>
      <c r="C238" s="8" t="s">
        <v>284</v>
      </c>
      <c r="D238" s="8" t="s">
        <v>1055</v>
      </c>
      <c r="E238" s="8">
        <v>1.9053071467070841</v>
      </c>
    </row>
    <row r="239" spans="1:5" ht="24.75" x14ac:dyDescent="0.25">
      <c r="A239" s="8" t="s">
        <v>338</v>
      </c>
      <c r="B239" s="8" t="s">
        <v>224</v>
      </c>
      <c r="C239" s="8" t="s">
        <v>284</v>
      </c>
      <c r="D239" s="8" t="s">
        <v>1056</v>
      </c>
      <c r="E239" s="8">
        <v>0.27770999999999879</v>
      </c>
    </row>
    <row r="240" spans="1:5" ht="24.75" x14ac:dyDescent="0.25">
      <c r="A240" s="8" t="s">
        <v>338</v>
      </c>
      <c r="B240" s="8" t="s">
        <v>224</v>
      </c>
      <c r="C240" s="8" t="s">
        <v>284</v>
      </c>
      <c r="D240" s="8" t="s">
        <v>1057</v>
      </c>
      <c r="E240" s="8">
        <v>1.3406411643081435</v>
      </c>
    </row>
    <row r="241" spans="1:5" ht="24.75" x14ac:dyDescent="0.25">
      <c r="A241" s="8" t="s">
        <v>338</v>
      </c>
      <c r="B241" s="8" t="s">
        <v>224</v>
      </c>
      <c r="C241" s="8" t="s">
        <v>284</v>
      </c>
      <c r="D241" s="8" t="s">
        <v>1058</v>
      </c>
      <c r="E241" s="8">
        <v>1.1170100000000007</v>
      </c>
    </row>
    <row r="242" spans="1:5" ht="24.75" x14ac:dyDescent="0.25">
      <c r="A242" s="8" t="s">
        <v>338</v>
      </c>
      <c r="B242" s="8" t="s">
        <v>224</v>
      </c>
      <c r="C242" s="8" t="s">
        <v>284</v>
      </c>
      <c r="D242" s="8" t="s">
        <v>1059</v>
      </c>
      <c r="E242" s="8">
        <v>1.1287000000000007</v>
      </c>
    </row>
    <row r="243" spans="1:5" ht="24.75" x14ac:dyDescent="0.25">
      <c r="A243" s="8" t="s">
        <v>338</v>
      </c>
      <c r="B243" s="8" t="s">
        <v>224</v>
      </c>
      <c r="C243" s="8" t="s">
        <v>284</v>
      </c>
      <c r="D243" s="8" t="s">
        <v>1060</v>
      </c>
      <c r="E243" s="8">
        <v>1.8447099999634768</v>
      </c>
    </row>
    <row r="244" spans="1:5" ht="24.75" x14ac:dyDescent="0.25">
      <c r="A244" s="8" t="s">
        <v>338</v>
      </c>
      <c r="B244" s="8" t="s">
        <v>224</v>
      </c>
      <c r="C244" s="8" t="s">
        <v>284</v>
      </c>
      <c r="D244" s="8" t="s">
        <v>1061</v>
      </c>
      <c r="E244" s="8">
        <v>6.6821167185859592E-2</v>
      </c>
    </row>
    <row r="245" spans="1:5" ht="24.75" x14ac:dyDescent="0.25">
      <c r="A245" s="8" t="s">
        <v>338</v>
      </c>
      <c r="B245" s="8" t="s">
        <v>224</v>
      </c>
      <c r="C245" s="8" t="s">
        <v>284</v>
      </c>
      <c r="D245" s="8" t="s">
        <v>1062</v>
      </c>
      <c r="E245" s="8">
        <v>2.3164368086727247</v>
      </c>
    </row>
    <row r="246" spans="1:5" ht="24.75" x14ac:dyDescent="0.25">
      <c r="A246" s="8" t="s">
        <v>338</v>
      </c>
      <c r="B246" s="8" t="s">
        <v>224</v>
      </c>
      <c r="C246" s="8" t="s">
        <v>284</v>
      </c>
      <c r="D246" s="8" t="s">
        <v>1063</v>
      </c>
      <c r="E246" s="8">
        <v>2.2624261050028465</v>
      </c>
    </row>
    <row r="247" spans="1:5" ht="24.75" x14ac:dyDescent="0.25">
      <c r="A247" s="8" t="s">
        <v>338</v>
      </c>
      <c r="B247" s="8" t="s">
        <v>224</v>
      </c>
      <c r="C247" s="8" t="s">
        <v>284</v>
      </c>
      <c r="D247" s="8" t="s">
        <v>1064</v>
      </c>
      <c r="E247" s="8">
        <v>2.3172235263473313</v>
      </c>
    </row>
    <row r="248" spans="1:5" ht="24.75" x14ac:dyDescent="0.25">
      <c r="A248" s="8" t="s">
        <v>338</v>
      </c>
      <c r="B248" s="8" t="s">
        <v>224</v>
      </c>
      <c r="C248" s="8" t="s">
        <v>284</v>
      </c>
      <c r="D248" s="8" t="s">
        <v>1065</v>
      </c>
      <c r="E248" s="8">
        <v>2.3084522637519345</v>
      </c>
    </row>
    <row r="249" spans="1:5" ht="24.75" x14ac:dyDescent="0.25">
      <c r="A249" s="8" t="s">
        <v>338</v>
      </c>
      <c r="B249" s="8" t="s">
        <v>224</v>
      </c>
      <c r="C249" s="8" t="s">
        <v>284</v>
      </c>
      <c r="D249" s="8" t="s">
        <v>1066</v>
      </c>
      <c r="E249" s="8">
        <v>2.3250662134430655</v>
      </c>
    </row>
    <row r="250" spans="1:5" ht="24.75" x14ac:dyDescent="0.25">
      <c r="A250" s="8" t="s">
        <v>338</v>
      </c>
      <c r="B250" s="8" t="s">
        <v>224</v>
      </c>
      <c r="C250" s="8" t="s">
        <v>284</v>
      </c>
      <c r="D250" s="8" t="s">
        <v>1067</v>
      </c>
      <c r="E250" s="8">
        <v>2.3252066743436171</v>
      </c>
    </row>
    <row r="251" spans="1:5" ht="24.75" x14ac:dyDescent="0.25">
      <c r="A251" s="8" t="s">
        <v>338</v>
      </c>
      <c r="B251" s="8" t="s">
        <v>224</v>
      </c>
      <c r="C251" s="8" t="s">
        <v>284</v>
      </c>
      <c r="D251" s="8" t="s">
        <v>1068</v>
      </c>
      <c r="E251" s="8">
        <v>2.2975932171195783</v>
      </c>
    </row>
    <row r="252" spans="1:5" ht="24.75" x14ac:dyDescent="0.25">
      <c r="A252" s="8" t="s">
        <v>338</v>
      </c>
      <c r="B252" s="8" t="s">
        <v>224</v>
      </c>
      <c r="C252" s="8" t="s">
        <v>284</v>
      </c>
      <c r="D252" s="8" t="s">
        <v>1069</v>
      </c>
      <c r="E252" s="8">
        <v>2.3090030090753344</v>
      </c>
    </row>
    <row r="253" spans="1:5" ht="24.75" x14ac:dyDescent="0.25">
      <c r="A253" s="8" t="s">
        <v>338</v>
      </c>
      <c r="B253" s="8" t="s">
        <v>224</v>
      </c>
      <c r="C253" s="8" t="s">
        <v>284</v>
      </c>
      <c r="D253" s="8" t="s">
        <v>1070</v>
      </c>
      <c r="E253" s="8">
        <v>2.3080648806968762</v>
      </c>
    </row>
    <row r="254" spans="1:5" ht="24.75" x14ac:dyDescent="0.25">
      <c r="A254" s="8" t="s">
        <v>338</v>
      </c>
      <c r="B254" s="8" t="s">
        <v>224</v>
      </c>
      <c r="C254" s="8" t="s">
        <v>284</v>
      </c>
      <c r="D254" s="8" t="s">
        <v>1071</v>
      </c>
      <c r="E254" s="8">
        <v>2.3099391843890711</v>
      </c>
    </row>
    <row r="255" spans="1:5" ht="24.75" x14ac:dyDescent="0.25">
      <c r="A255" s="8" t="s">
        <v>338</v>
      </c>
      <c r="B255" s="8" t="s">
        <v>224</v>
      </c>
      <c r="C255" s="8" t="s">
        <v>284</v>
      </c>
      <c r="D255" s="8" t="s">
        <v>1072</v>
      </c>
      <c r="E255" s="8">
        <v>2.3731384896420962</v>
      </c>
    </row>
    <row r="256" spans="1:5" ht="24.75" x14ac:dyDescent="0.25">
      <c r="A256" s="8" t="s">
        <v>338</v>
      </c>
      <c r="B256" s="8" t="s">
        <v>224</v>
      </c>
      <c r="C256" s="8" t="s">
        <v>284</v>
      </c>
      <c r="D256" s="8" t="s">
        <v>1073</v>
      </c>
      <c r="E256" s="8">
        <v>0.19265005505540433</v>
      </c>
    </row>
    <row r="257" spans="1:5" ht="24.75" x14ac:dyDescent="0.25">
      <c r="A257" s="8" t="s">
        <v>338</v>
      </c>
      <c r="B257" s="8" t="s">
        <v>224</v>
      </c>
      <c r="C257" s="8" t="s">
        <v>284</v>
      </c>
      <c r="D257" s="8" t="s">
        <v>1074</v>
      </c>
      <c r="E257" s="8">
        <v>18.175071411360282</v>
      </c>
    </row>
    <row r="258" spans="1:5" ht="24.75" x14ac:dyDescent="0.25">
      <c r="A258" s="8" t="s">
        <v>338</v>
      </c>
      <c r="B258" s="8" t="s">
        <v>224</v>
      </c>
      <c r="C258" s="8" t="s">
        <v>284</v>
      </c>
      <c r="D258" s="8" t="s">
        <v>1075</v>
      </c>
      <c r="E258" s="8">
        <v>0.36545781178968495</v>
      </c>
    </row>
    <row r="259" spans="1:5" ht="24.75" x14ac:dyDescent="0.25">
      <c r="A259" s="8" t="s">
        <v>338</v>
      </c>
      <c r="B259" s="8" t="s">
        <v>224</v>
      </c>
      <c r="C259" s="8" t="s">
        <v>284</v>
      </c>
      <c r="D259" s="8" t="s">
        <v>1076</v>
      </c>
      <c r="E259" s="8">
        <v>5.9514716081138272E-2</v>
      </c>
    </row>
    <row r="260" spans="1:5" ht="24.75" x14ac:dyDescent="0.25">
      <c r="A260" s="8" t="s">
        <v>338</v>
      </c>
      <c r="B260" s="8" t="s">
        <v>224</v>
      </c>
      <c r="C260" s="8" t="s">
        <v>284</v>
      </c>
      <c r="D260" s="8" t="s">
        <v>1077</v>
      </c>
      <c r="E260" s="8">
        <v>5.0463831261089815</v>
      </c>
    </row>
    <row r="261" spans="1:5" ht="24.75" x14ac:dyDescent="0.25">
      <c r="A261" s="8" t="s">
        <v>338</v>
      </c>
      <c r="B261" s="8" t="s">
        <v>224</v>
      </c>
      <c r="C261" s="8" t="s">
        <v>284</v>
      </c>
      <c r="D261" s="8" t="s">
        <v>1078</v>
      </c>
      <c r="E261" s="8">
        <v>5.9941000000000022</v>
      </c>
    </row>
    <row r="262" spans="1:5" ht="24.75" x14ac:dyDescent="0.25">
      <c r="A262" s="8" t="s">
        <v>338</v>
      </c>
      <c r="B262" s="8" t="s">
        <v>224</v>
      </c>
      <c r="C262" s="8" t="s">
        <v>284</v>
      </c>
      <c r="D262" s="8" t="s">
        <v>1079</v>
      </c>
      <c r="E262" s="8">
        <v>5.9941000000000022</v>
      </c>
    </row>
    <row r="263" spans="1:5" ht="24.75" x14ac:dyDescent="0.25">
      <c r="A263" s="8" t="s">
        <v>338</v>
      </c>
      <c r="B263" s="8" t="s">
        <v>224</v>
      </c>
      <c r="C263" s="8" t="s">
        <v>284</v>
      </c>
      <c r="D263" s="8" t="s">
        <v>1080</v>
      </c>
      <c r="E263" s="8">
        <v>5.9941250301173055</v>
      </c>
    </row>
    <row r="264" spans="1:5" ht="24.75" x14ac:dyDescent="0.25">
      <c r="A264" s="8" t="s">
        <v>338</v>
      </c>
      <c r="B264" s="8" t="s">
        <v>224</v>
      </c>
      <c r="C264" s="8" t="s">
        <v>284</v>
      </c>
      <c r="D264" s="8" t="s">
        <v>1081</v>
      </c>
      <c r="E264" s="8">
        <v>5.994099999999996</v>
      </c>
    </row>
    <row r="265" spans="1:5" ht="24.75" x14ac:dyDescent="0.25">
      <c r="A265" s="8" t="s">
        <v>338</v>
      </c>
      <c r="B265" s="8" t="s">
        <v>224</v>
      </c>
      <c r="C265" s="8" t="s">
        <v>284</v>
      </c>
      <c r="D265" s="8" t="s">
        <v>1082</v>
      </c>
      <c r="E265" s="8">
        <v>5.8545931131984981</v>
      </c>
    </row>
    <row r="266" spans="1:5" ht="24.75" x14ac:dyDescent="0.25">
      <c r="A266" s="8" t="s">
        <v>338</v>
      </c>
      <c r="B266" s="8" t="s">
        <v>224</v>
      </c>
      <c r="C266" s="8" t="s">
        <v>284</v>
      </c>
      <c r="D266" s="8" t="s">
        <v>1083</v>
      </c>
      <c r="E266" s="8">
        <v>5.9940999999999995</v>
      </c>
    </row>
    <row r="267" spans="1:5" ht="24.75" x14ac:dyDescent="0.25">
      <c r="A267" s="8" t="s">
        <v>338</v>
      </c>
      <c r="B267" s="8" t="s">
        <v>224</v>
      </c>
      <c r="C267" s="8" t="s">
        <v>284</v>
      </c>
      <c r="D267" s="8" t="s">
        <v>1084</v>
      </c>
      <c r="E267" s="8">
        <v>5.9941000000000022</v>
      </c>
    </row>
    <row r="268" spans="1:5" ht="24.75" x14ac:dyDescent="0.25">
      <c r="A268" s="8" t="s">
        <v>338</v>
      </c>
      <c r="B268" s="8" t="s">
        <v>224</v>
      </c>
      <c r="C268" s="8" t="s">
        <v>284</v>
      </c>
      <c r="D268" s="8" t="s">
        <v>1085</v>
      </c>
      <c r="E268" s="8">
        <v>7.8743906117421902</v>
      </c>
    </row>
    <row r="269" spans="1:5" ht="24.75" x14ac:dyDescent="0.25">
      <c r="A269" s="8" t="s">
        <v>338</v>
      </c>
      <c r="B269" s="8" t="s">
        <v>224</v>
      </c>
      <c r="C269" s="8" t="s">
        <v>284</v>
      </c>
      <c r="D269" s="8" t="s">
        <v>1086</v>
      </c>
      <c r="E269" s="8">
        <v>6.1340999999999983</v>
      </c>
    </row>
    <row r="270" spans="1:5" ht="24.75" x14ac:dyDescent="0.25">
      <c r="A270" s="8" t="s">
        <v>338</v>
      </c>
      <c r="B270" s="8" t="s">
        <v>224</v>
      </c>
      <c r="C270" s="8" t="s">
        <v>284</v>
      </c>
      <c r="D270" s="8" t="s">
        <v>1087</v>
      </c>
      <c r="E270" s="8">
        <v>5.96251</v>
      </c>
    </row>
    <row r="271" spans="1:5" ht="24.75" x14ac:dyDescent="0.25">
      <c r="A271" s="8" t="s">
        <v>338</v>
      </c>
      <c r="B271" s="8" t="s">
        <v>224</v>
      </c>
      <c r="C271" s="8" t="s">
        <v>284</v>
      </c>
      <c r="D271" s="8" t="s">
        <v>1088</v>
      </c>
      <c r="E271" s="8">
        <v>6.1336068868015072</v>
      </c>
    </row>
    <row r="272" spans="1:5" ht="24.75" x14ac:dyDescent="0.25">
      <c r="A272" s="8" t="s">
        <v>338</v>
      </c>
      <c r="B272" s="8" t="s">
        <v>224</v>
      </c>
      <c r="C272" s="8" t="s">
        <v>284</v>
      </c>
      <c r="D272" s="8" t="s">
        <v>1089</v>
      </c>
      <c r="E272" s="8">
        <v>6.0160000000000009</v>
      </c>
    </row>
    <row r="273" spans="1:5" ht="24.75" x14ac:dyDescent="0.25">
      <c r="A273" s="8" t="s">
        <v>338</v>
      </c>
      <c r="B273" s="8" t="s">
        <v>224</v>
      </c>
      <c r="C273" s="8" t="s">
        <v>284</v>
      </c>
      <c r="D273" s="8" t="s">
        <v>1090</v>
      </c>
      <c r="E273" s="8">
        <v>1.9054100003383336</v>
      </c>
    </row>
    <row r="274" spans="1:5" ht="24.75" x14ac:dyDescent="0.25">
      <c r="A274" s="8" t="s">
        <v>338</v>
      </c>
      <c r="B274" s="8" t="s">
        <v>224</v>
      </c>
      <c r="C274" s="8" t="s">
        <v>284</v>
      </c>
      <c r="D274" s="8" t="s">
        <v>1091</v>
      </c>
      <c r="E274" s="8">
        <v>6.0058999063196339</v>
      </c>
    </row>
    <row r="275" spans="1:5" ht="24.75" x14ac:dyDescent="0.25">
      <c r="A275" s="8" t="s">
        <v>338</v>
      </c>
      <c r="B275" s="8" t="s">
        <v>224</v>
      </c>
      <c r="C275" s="8" t="s">
        <v>284</v>
      </c>
      <c r="D275" s="8" t="s">
        <v>1092</v>
      </c>
      <c r="E275" s="8">
        <v>16.94628073763435</v>
      </c>
    </row>
    <row r="276" spans="1:5" ht="24.75" x14ac:dyDescent="0.25">
      <c r="A276" s="8" t="s">
        <v>338</v>
      </c>
      <c r="B276" s="8" t="s">
        <v>224</v>
      </c>
      <c r="C276" s="8" t="s">
        <v>284</v>
      </c>
      <c r="D276" s="8" t="s">
        <v>1093</v>
      </c>
      <c r="E276" s="8">
        <v>1.3833356209077945</v>
      </c>
    </row>
    <row r="277" spans="1:5" ht="24.75" x14ac:dyDescent="0.25">
      <c r="A277" s="8" t="s">
        <v>338</v>
      </c>
      <c r="B277" s="8" t="s">
        <v>224</v>
      </c>
      <c r="C277" s="8" t="s">
        <v>284</v>
      </c>
      <c r="D277" s="8" t="s">
        <v>1094</v>
      </c>
      <c r="E277" s="8">
        <v>0.34982462828374455</v>
      </c>
    </row>
    <row r="278" spans="1:5" ht="24.75" x14ac:dyDescent="0.25">
      <c r="A278" s="8" t="s">
        <v>338</v>
      </c>
      <c r="B278" s="8" t="s">
        <v>224</v>
      </c>
      <c r="C278" s="8" t="s">
        <v>284</v>
      </c>
      <c r="D278" s="8" t="s">
        <v>1095</v>
      </c>
      <c r="E278" s="8">
        <v>0.86796437909220936</v>
      </c>
    </row>
    <row r="279" spans="1:5" ht="24.75" x14ac:dyDescent="0.25">
      <c r="A279" s="8" t="s">
        <v>338</v>
      </c>
      <c r="B279" s="8" t="s">
        <v>224</v>
      </c>
      <c r="C279" s="8" t="s">
        <v>284</v>
      </c>
      <c r="D279" s="8" t="s">
        <v>1096</v>
      </c>
      <c r="E279" s="8">
        <v>0.67174562307434071</v>
      </c>
    </row>
    <row r="280" spans="1:5" ht="24.75" x14ac:dyDescent="0.25">
      <c r="A280" s="8" t="s">
        <v>338</v>
      </c>
      <c r="B280" s="8" t="s">
        <v>224</v>
      </c>
      <c r="C280" s="8" t="s">
        <v>284</v>
      </c>
      <c r="D280" s="8" t="s">
        <v>1097</v>
      </c>
      <c r="E280" s="8">
        <v>0.12239098173825105</v>
      </c>
    </row>
    <row r="281" spans="1:5" ht="24.75" x14ac:dyDescent="0.25">
      <c r="A281" s="8" t="s">
        <v>338</v>
      </c>
      <c r="B281" s="8" t="s">
        <v>224</v>
      </c>
      <c r="C281" s="8" t="s">
        <v>284</v>
      </c>
      <c r="D281" s="8" t="s">
        <v>1098</v>
      </c>
      <c r="E281" s="8">
        <v>0.10087652579366577</v>
      </c>
    </row>
    <row r="282" spans="1:5" ht="24.75" x14ac:dyDescent="0.25">
      <c r="A282" s="8" t="s">
        <v>338</v>
      </c>
      <c r="B282" s="8" t="s">
        <v>224</v>
      </c>
      <c r="C282" s="8" t="s">
        <v>284</v>
      </c>
      <c r="D282" s="8" t="s">
        <v>1099</v>
      </c>
      <c r="E282" s="8">
        <v>0.15471532328948337</v>
      </c>
    </row>
    <row r="283" spans="1:5" ht="24.75" x14ac:dyDescent="0.25">
      <c r="A283" s="8" t="s">
        <v>338</v>
      </c>
      <c r="B283" s="8" t="s">
        <v>224</v>
      </c>
      <c r="C283" s="8" t="s">
        <v>284</v>
      </c>
      <c r="D283" s="8" t="s">
        <v>1100</v>
      </c>
      <c r="E283" s="8">
        <v>0.17937323823931525</v>
      </c>
    </row>
    <row r="284" spans="1:5" ht="24.75" x14ac:dyDescent="0.25">
      <c r="A284" s="8" t="s">
        <v>338</v>
      </c>
      <c r="B284" s="8" t="s">
        <v>224</v>
      </c>
      <c r="C284" s="8" t="s">
        <v>284</v>
      </c>
      <c r="D284" s="8" t="s">
        <v>1101</v>
      </c>
      <c r="E284" s="8">
        <v>0.16960305506776413</v>
      </c>
    </row>
    <row r="285" spans="1:5" ht="24.75" x14ac:dyDescent="0.25">
      <c r="A285" s="8" t="s">
        <v>338</v>
      </c>
      <c r="B285" s="8" t="s">
        <v>224</v>
      </c>
      <c r="C285" s="8" t="s">
        <v>284</v>
      </c>
      <c r="D285" s="8" t="s">
        <v>1102</v>
      </c>
      <c r="E285" s="8">
        <v>1.9053616180485764</v>
      </c>
    </row>
    <row r="286" spans="1:5" ht="24.75" x14ac:dyDescent="0.25">
      <c r="A286" s="8" t="s">
        <v>338</v>
      </c>
      <c r="B286" s="8" t="s">
        <v>224</v>
      </c>
      <c r="C286" s="8" t="s">
        <v>284</v>
      </c>
      <c r="D286" s="8" t="s">
        <v>1103</v>
      </c>
      <c r="E286" s="8">
        <v>1.356368514144692</v>
      </c>
    </row>
    <row r="287" spans="1:5" ht="24.75" x14ac:dyDescent="0.25">
      <c r="A287" s="8" t="s">
        <v>338</v>
      </c>
      <c r="B287" s="8" t="s">
        <v>224</v>
      </c>
      <c r="C287" s="8" t="s">
        <v>284</v>
      </c>
      <c r="D287" s="8" t="s">
        <v>1104</v>
      </c>
      <c r="E287" s="8">
        <v>0.15250807088038881</v>
      </c>
    </row>
    <row r="288" spans="1:5" ht="24.75" x14ac:dyDescent="0.25">
      <c r="A288" s="8" t="s">
        <v>338</v>
      </c>
      <c r="B288" s="8" t="s">
        <v>224</v>
      </c>
      <c r="C288" s="8" t="s">
        <v>284</v>
      </c>
      <c r="D288" s="8" t="s">
        <v>1105</v>
      </c>
      <c r="E288" s="8">
        <v>4.6453220801050641</v>
      </c>
    </row>
    <row r="289" spans="1:5" ht="24.75" x14ac:dyDescent="0.25">
      <c r="A289" s="8" t="s">
        <v>338</v>
      </c>
      <c r="B289" s="8" t="s">
        <v>224</v>
      </c>
      <c r="C289" s="8" t="s">
        <v>284</v>
      </c>
      <c r="D289" s="8" t="s">
        <v>1106</v>
      </c>
      <c r="E289" s="8">
        <v>1.5553357542291812</v>
      </c>
    </row>
    <row r="290" spans="1:5" ht="24.75" x14ac:dyDescent="0.25">
      <c r="A290" s="8" t="s">
        <v>338</v>
      </c>
      <c r="B290" s="8" t="s">
        <v>224</v>
      </c>
      <c r="C290" s="8" t="s">
        <v>284</v>
      </c>
      <c r="D290" s="8" t="s">
        <v>1107</v>
      </c>
      <c r="E290" s="8">
        <v>1.5570478697170493</v>
      </c>
    </row>
    <row r="291" spans="1:5" ht="24.75" x14ac:dyDescent="0.25">
      <c r="A291" s="8" t="s">
        <v>338</v>
      </c>
      <c r="B291" s="8" t="s">
        <v>224</v>
      </c>
      <c r="C291" s="8" t="s">
        <v>284</v>
      </c>
      <c r="D291" s="8" t="s">
        <v>1108</v>
      </c>
      <c r="E291" s="8">
        <v>0.12572301309835754</v>
      </c>
    </row>
    <row r="292" spans="1:5" ht="24.75" x14ac:dyDescent="0.25">
      <c r="A292" s="8" t="s">
        <v>338</v>
      </c>
      <c r="B292" s="8" t="s">
        <v>224</v>
      </c>
      <c r="C292" s="8" t="s">
        <v>284</v>
      </c>
      <c r="D292" s="8" t="s">
        <v>1109</v>
      </c>
      <c r="E292" s="8">
        <v>1.286134388168954</v>
      </c>
    </row>
    <row r="293" spans="1:5" ht="24.75" x14ac:dyDescent="0.25">
      <c r="A293" s="8" t="s">
        <v>338</v>
      </c>
      <c r="B293" s="8" t="s">
        <v>224</v>
      </c>
      <c r="C293" s="8" t="s">
        <v>284</v>
      </c>
      <c r="D293" s="8" t="s">
        <v>1110</v>
      </c>
      <c r="E293" s="8">
        <v>0.33785906855149672</v>
      </c>
    </row>
    <row r="294" spans="1:5" ht="24.75" x14ac:dyDescent="0.25">
      <c r="A294" s="8" t="s">
        <v>338</v>
      </c>
      <c r="B294" s="8" t="s">
        <v>224</v>
      </c>
      <c r="C294" s="8" t="s">
        <v>284</v>
      </c>
      <c r="D294" s="8" t="s">
        <v>1111</v>
      </c>
      <c r="E294" s="8">
        <v>0.27279065318039447</v>
      </c>
    </row>
    <row r="295" spans="1:5" ht="24.75" x14ac:dyDescent="0.25">
      <c r="A295" s="8" t="s">
        <v>338</v>
      </c>
      <c r="B295" s="8" t="s">
        <v>224</v>
      </c>
      <c r="C295" s="8" t="s">
        <v>284</v>
      </c>
      <c r="D295" s="8" t="s">
        <v>1112</v>
      </c>
      <c r="E295" s="8">
        <v>1.2861343881689542</v>
      </c>
    </row>
    <row r="296" spans="1:5" ht="24.75" x14ac:dyDescent="0.25">
      <c r="A296" s="8" t="s">
        <v>338</v>
      </c>
      <c r="B296" s="8" t="s">
        <v>224</v>
      </c>
      <c r="C296" s="8" t="s">
        <v>284</v>
      </c>
      <c r="D296" s="8" t="s">
        <v>1113</v>
      </c>
      <c r="E296" s="8">
        <v>1.2861343881689538</v>
      </c>
    </row>
    <row r="297" spans="1:5" ht="24.75" x14ac:dyDescent="0.25">
      <c r="A297" s="8" t="s">
        <v>338</v>
      </c>
      <c r="B297" s="8" t="s">
        <v>224</v>
      </c>
      <c r="C297" s="8" t="s">
        <v>284</v>
      </c>
      <c r="D297" s="8" t="s">
        <v>1114</v>
      </c>
      <c r="E297" s="8">
        <v>0.13822301309841711</v>
      </c>
    </row>
    <row r="298" spans="1:5" ht="24.75" x14ac:dyDescent="0.25">
      <c r="A298" s="8" t="s">
        <v>338</v>
      </c>
      <c r="B298" s="8" t="s">
        <v>224</v>
      </c>
      <c r="C298" s="8" t="s">
        <v>284</v>
      </c>
      <c r="D298" s="8" t="s">
        <v>1115</v>
      </c>
      <c r="E298" s="8">
        <v>1.2861343881689538</v>
      </c>
    </row>
    <row r="299" spans="1:5" ht="24.75" x14ac:dyDescent="0.25">
      <c r="A299" s="8" t="s">
        <v>338</v>
      </c>
      <c r="B299" s="8" t="s">
        <v>224</v>
      </c>
      <c r="C299" s="8" t="s">
        <v>284</v>
      </c>
      <c r="D299" s="8" t="s">
        <v>1116</v>
      </c>
      <c r="E299" s="8">
        <v>0.13399830339346233</v>
      </c>
    </row>
    <row r="300" spans="1:5" ht="24.75" x14ac:dyDescent="0.25">
      <c r="A300" s="8" t="s">
        <v>338</v>
      </c>
      <c r="B300" s="8" t="s">
        <v>224</v>
      </c>
      <c r="C300" s="8" t="s">
        <v>284</v>
      </c>
      <c r="D300" s="8" t="s">
        <v>1117</v>
      </c>
      <c r="E300" s="8">
        <v>0.18796142284065634</v>
      </c>
    </row>
    <row r="301" spans="1:5" ht="24.75" x14ac:dyDescent="0.25">
      <c r="A301" s="8" t="s">
        <v>338</v>
      </c>
      <c r="B301" s="8" t="s">
        <v>224</v>
      </c>
      <c r="C301" s="8" t="s">
        <v>284</v>
      </c>
      <c r="D301" s="8" t="s">
        <v>1118</v>
      </c>
      <c r="E301" s="8">
        <v>2.3840567263794235</v>
      </c>
    </row>
    <row r="302" spans="1:5" ht="24.75" x14ac:dyDescent="0.25">
      <c r="A302" s="8" t="s">
        <v>338</v>
      </c>
      <c r="B302" s="8" t="s">
        <v>224</v>
      </c>
      <c r="C302" s="8" t="s">
        <v>284</v>
      </c>
      <c r="D302" s="8" t="s">
        <v>1119</v>
      </c>
      <c r="E302" s="8">
        <v>0.90119997997284063</v>
      </c>
    </row>
    <row r="303" spans="1:5" ht="24.75" x14ac:dyDescent="0.25">
      <c r="A303" s="8" t="s">
        <v>338</v>
      </c>
      <c r="B303" s="8" t="s">
        <v>224</v>
      </c>
      <c r="C303" s="8" t="s">
        <v>284</v>
      </c>
      <c r="D303" s="8" t="s">
        <v>1120</v>
      </c>
      <c r="E303" s="8">
        <v>0.10195367756118541</v>
      </c>
    </row>
    <row r="304" spans="1:5" ht="24.75" x14ac:dyDescent="0.25">
      <c r="A304" s="8" t="s">
        <v>338</v>
      </c>
      <c r="B304" s="8" t="s">
        <v>224</v>
      </c>
      <c r="C304" s="8" t="s">
        <v>284</v>
      </c>
      <c r="D304" s="8" t="s">
        <v>1121</v>
      </c>
      <c r="E304" s="8">
        <v>0.3566289704781469</v>
      </c>
    </row>
    <row r="305" spans="1:5" ht="24.75" x14ac:dyDescent="0.25">
      <c r="A305" s="8" t="s">
        <v>338</v>
      </c>
      <c r="B305" s="8" t="s">
        <v>224</v>
      </c>
      <c r="C305" s="8" t="s">
        <v>284</v>
      </c>
      <c r="D305" s="8" t="s">
        <v>1122</v>
      </c>
      <c r="E305" s="8">
        <v>2.2735113003656107</v>
      </c>
    </row>
    <row r="306" spans="1:5" ht="24.75" x14ac:dyDescent="0.25">
      <c r="A306" s="8" t="s">
        <v>338</v>
      </c>
      <c r="B306" s="8" t="s">
        <v>224</v>
      </c>
      <c r="C306" s="8" t="s">
        <v>284</v>
      </c>
      <c r="D306" s="8" t="s">
        <v>1123</v>
      </c>
      <c r="E306" s="8">
        <v>5.2081196363653639</v>
      </c>
    </row>
    <row r="307" spans="1:5" ht="24.75" x14ac:dyDescent="0.25">
      <c r="A307" s="8" t="s">
        <v>338</v>
      </c>
      <c r="B307" s="8" t="s">
        <v>224</v>
      </c>
      <c r="C307" s="8" t="s">
        <v>284</v>
      </c>
      <c r="D307" s="8" t="s">
        <v>1124</v>
      </c>
      <c r="E307" s="8">
        <v>0.71503265573841746</v>
      </c>
    </row>
    <row r="308" spans="1:5" ht="24.75" x14ac:dyDescent="0.25">
      <c r="A308" s="8" t="s">
        <v>338</v>
      </c>
      <c r="B308" s="8" t="s">
        <v>224</v>
      </c>
      <c r="C308" s="8" t="s">
        <v>284</v>
      </c>
      <c r="D308" s="8" t="s">
        <v>1125</v>
      </c>
      <c r="E308" s="8">
        <v>4.4474403670794027</v>
      </c>
    </row>
    <row r="309" spans="1:5" ht="24.75" x14ac:dyDescent="0.25">
      <c r="A309" s="8" t="s">
        <v>338</v>
      </c>
      <c r="B309" s="8" t="s">
        <v>224</v>
      </c>
      <c r="C309" s="8" t="s">
        <v>284</v>
      </c>
      <c r="D309" s="8" t="s">
        <v>1126</v>
      </c>
      <c r="E309" s="8">
        <v>3.6387499839612718</v>
      </c>
    </row>
    <row r="310" spans="1:5" ht="24.75" x14ac:dyDescent="0.25">
      <c r="A310" s="8" t="s">
        <v>338</v>
      </c>
      <c r="B310" s="8" t="s">
        <v>224</v>
      </c>
      <c r="C310" s="8" t="s">
        <v>284</v>
      </c>
      <c r="D310" s="8" t="s">
        <v>1127</v>
      </c>
      <c r="E310" s="8">
        <v>5.2229765605440726</v>
      </c>
    </row>
    <row r="311" spans="1:5" ht="24.75" x14ac:dyDescent="0.25">
      <c r="A311" s="8" t="s">
        <v>338</v>
      </c>
      <c r="B311" s="8" t="s">
        <v>224</v>
      </c>
      <c r="C311" s="8" t="s">
        <v>284</v>
      </c>
      <c r="D311" s="8" t="s">
        <v>1128</v>
      </c>
      <c r="E311" s="8">
        <v>0.42931021141671888</v>
      </c>
    </row>
    <row r="312" spans="1:5" ht="24.75" x14ac:dyDescent="0.25">
      <c r="A312" s="8" t="s">
        <v>338</v>
      </c>
      <c r="B312" s="8" t="s">
        <v>224</v>
      </c>
      <c r="C312" s="8" t="s">
        <v>284</v>
      </c>
      <c r="D312" s="8" t="s">
        <v>1129</v>
      </c>
      <c r="E312" s="8">
        <v>8.3397051994491947E-2</v>
      </c>
    </row>
    <row r="313" spans="1:5" ht="24.75" x14ac:dyDescent="0.25">
      <c r="A313" s="8" t="s">
        <v>338</v>
      </c>
      <c r="B313" s="8" t="s">
        <v>224</v>
      </c>
      <c r="C313" s="8" t="s">
        <v>284</v>
      </c>
      <c r="D313" s="8" t="s">
        <v>1130</v>
      </c>
      <c r="E313" s="8">
        <v>0.91104330045284865</v>
      </c>
    </row>
    <row r="314" spans="1:5" ht="24.75" x14ac:dyDescent="0.25">
      <c r="A314" s="8" t="s">
        <v>338</v>
      </c>
      <c r="B314" s="8" t="s">
        <v>224</v>
      </c>
      <c r="C314" s="8" t="s">
        <v>284</v>
      </c>
      <c r="D314" s="8" t="s">
        <v>1131</v>
      </c>
      <c r="E314" s="8">
        <v>8.4248334051882298E-2</v>
      </c>
    </row>
    <row r="315" spans="1:5" ht="24.75" x14ac:dyDescent="0.25">
      <c r="A315" s="8" t="s">
        <v>338</v>
      </c>
      <c r="B315" s="8" t="s">
        <v>224</v>
      </c>
      <c r="C315" s="8" t="s">
        <v>284</v>
      </c>
      <c r="D315" s="8" t="s">
        <v>1132</v>
      </c>
      <c r="E315" s="8">
        <v>1.5852944951517889</v>
      </c>
    </row>
    <row r="316" spans="1:5" ht="24.75" x14ac:dyDescent="0.25">
      <c r="A316" s="8" t="s">
        <v>338</v>
      </c>
      <c r="B316" s="8" t="s">
        <v>224</v>
      </c>
      <c r="C316" s="8" t="s">
        <v>284</v>
      </c>
      <c r="D316" s="8" t="s">
        <v>1133</v>
      </c>
      <c r="E316" s="8">
        <v>8.5870649403654992E-2</v>
      </c>
    </row>
    <row r="317" spans="1:5" ht="24.75" x14ac:dyDescent="0.25">
      <c r="A317" s="8" t="s">
        <v>338</v>
      </c>
      <c r="B317" s="8" t="s">
        <v>224</v>
      </c>
      <c r="C317" s="8" t="s">
        <v>284</v>
      </c>
      <c r="D317" s="8" t="s">
        <v>1134</v>
      </c>
      <c r="E317" s="8">
        <v>0.2128346705020403</v>
      </c>
    </row>
    <row r="318" spans="1:5" ht="24.75" x14ac:dyDescent="0.25">
      <c r="A318" s="8" t="s">
        <v>338</v>
      </c>
      <c r="B318" s="8" t="s">
        <v>224</v>
      </c>
      <c r="C318" s="8" t="s">
        <v>284</v>
      </c>
      <c r="D318" s="8" t="s">
        <v>1135</v>
      </c>
      <c r="E318" s="8">
        <v>0.19822180005488044</v>
      </c>
    </row>
    <row r="319" spans="1:5" ht="24.75" x14ac:dyDescent="0.25">
      <c r="A319" s="8" t="s">
        <v>338</v>
      </c>
      <c r="B319" s="8" t="s">
        <v>224</v>
      </c>
      <c r="C319" s="8" t="s">
        <v>284</v>
      </c>
      <c r="D319" s="8" t="s">
        <v>1136</v>
      </c>
      <c r="E319" s="8">
        <v>1.4344803860835791</v>
      </c>
    </row>
    <row r="320" spans="1:5" ht="24.75" x14ac:dyDescent="0.25">
      <c r="A320" s="8" t="s">
        <v>338</v>
      </c>
      <c r="B320" s="8" t="s">
        <v>224</v>
      </c>
      <c r="C320" s="8" t="s">
        <v>284</v>
      </c>
      <c r="D320" s="8" t="s">
        <v>1137</v>
      </c>
      <c r="E320" s="8">
        <v>7.8570119695481902E-2</v>
      </c>
    </row>
    <row r="321" spans="1:5" ht="24.75" x14ac:dyDescent="0.25">
      <c r="A321" s="8" t="s">
        <v>338</v>
      </c>
      <c r="B321" s="8" t="s">
        <v>224</v>
      </c>
      <c r="C321" s="8" t="s">
        <v>284</v>
      </c>
      <c r="D321" s="8" t="s">
        <v>1138</v>
      </c>
      <c r="E321" s="8">
        <v>1.7623729304222231</v>
      </c>
    </row>
    <row r="322" spans="1:5" ht="24.75" x14ac:dyDescent="0.25">
      <c r="A322" s="8" t="s">
        <v>338</v>
      </c>
      <c r="B322" s="8" t="s">
        <v>224</v>
      </c>
      <c r="C322" s="8" t="s">
        <v>284</v>
      </c>
      <c r="D322" s="8" t="s">
        <v>1139</v>
      </c>
      <c r="E322" s="8">
        <v>0.19045636062913482</v>
      </c>
    </row>
    <row r="323" spans="1:5" ht="24.75" x14ac:dyDescent="0.25">
      <c r="A323" s="8" t="s">
        <v>338</v>
      </c>
      <c r="B323" s="8" t="s">
        <v>224</v>
      </c>
      <c r="C323" s="8" t="s">
        <v>284</v>
      </c>
      <c r="D323" s="8" t="s">
        <v>1140</v>
      </c>
      <c r="E323" s="8">
        <v>0.9316174548141819</v>
      </c>
    </row>
    <row r="324" spans="1:5" ht="24.75" x14ac:dyDescent="0.25">
      <c r="A324" s="8" t="s">
        <v>338</v>
      </c>
      <c r="B324" s="8" t="s">
        <v>224</v>
      </c>
      <c r="C324" s="8" t="s">
        <v>284</v>
      </c>
      <c r="D324" s="8" t="s">
        <v>1141</v>
      </c>
      <c r="E324" s="8">
        <v>0.20587657979128282</v>
      </c>
    </row>
    <row r="325" spans="1:5" ht="24.75" x14ac:dyDescent="0.25">
      <c r="A325" s="8" t="s">
        <v>338</v>
      </c>
      <c r="B325" s="8" t="s">
        <v>224</v>
      </c>
      <c r="C325" s="8" t="s">
        <v>284</v>
      </c>
      <c r="D325" s="8" t="s">
        <v>1142</v>
      </c>
      <c r="E325" s="8">
        <v>1.2414382589620632</v>
      </c>
    </row>
    <row r="326" spans="1:5" ht="24.75" x14ac:dyDescent="0.25">
      <c r="A326" s="8" t="s">
        <v>338</v>
      </c>
      <c r="B326" s="8" t="s">
        <v>224</v>
      </c>
      <c r="C326" s="8" t="s">
        <v>284</v>
      </c>
      <c r="D326" s="8" t="s">
        <v>1143</v>
      </c>
      <c r="E326" s="8">
        <v>5.5601456565727993E-2</v>
      </c>
    </row>
    <row r="327" spans="1:5" ht="24.75" x14ac:dyDescent="0.25">
      <c r="A327" s="8" t="s">
        <v>338</v>
      </c>
      <c r="B327" s="8" t="s">
        <v>224</v>
      </c>
      <c r="C327" s="8" t="s">
        <v>284</v>
      </c>
      <c r="D327" s="8" t="s">
        <v>1144</v>
      </c>
      <c r="E327" s="8">
        <v>0.23649766235988223</v>
      </c>
    </row>
    <row r="328" spans="1:5" ht="24.75" x14ac:dyDescent="0.25">
      <c r="A328" s="8" t="s">
        <v>338</v>
      </c>
      <c r="B328" s="8" t="s">
        <v>224</v>
      </c>
      <c r="C328" s="8" t="s">
        <v>284</v>
      </c>
      <c r="D328" s="8" t="s">
        <v>1145</v>
      </c>
      <c r="E328" s="8">
        <v>0.12344017034283708</v>
      </c>
    </row>
    <row r="329" spans="1:5" ht="24.75" x14ac:dyDescent="0.25">
      <c r="A329" s="8" t="s">
        <v>338</v>
      </c>
      <c r="B329" s="8" t="s">
        <v>224</v>
      </c>
      <c r="C329" s="8" t="s">
        <v>284</v>
      </c>
      <c r="D329" s="8" t="s">
        <v>1146</v>
      </c>
      <c r="E329" s="8">
        <v>4.6126835195229949</v>
      </c>
    </row>
    <row r="330" spans="1:5" ht="24.75" x14ac:dyDescent="0.25">
      <c r="A330" s="8" t="s">
        <v>338</v>
      </c>
      <c r="B330" s="8" t="s">
        <v>224</v>
      </c>
      <c r="C330" s="8" t="s">
        <v>284</v>
      </c>
      <c r="D330" s="8" t="s">
        <v>1147</v>
      </c>
      <c r="E330" s="8">
        <v>1.1318566647032986</v>
      </c>
    </row>
    <row r="331" spans="1:5" ht="24.75" x14ac:dyDescent="0.25">
      <c r="A331" s="8" t="s">
        <v>338</v>
      </c>
      <c r="B331" s="8" t="s">
        <v>224</v>
      </c>
      <c r="C331" s="8" t="s">
        <v>284</v>
      </c>
      <c r="D331" s="8" t="s">
        <v>1148</v>
      </c>
      <c r="E331" s="8">
        <v>2.6699204783343662</v>
      </c>
    </row>
    <row r="332" spans="1:5" ht="24.75" x14ac:dyDescent="0.25">
      <c r="A332" s="8" t="s">
        <v>338</v>
      </c>
      <c r="B332" s="8" t="s">
        <v>224</v>
      </c>
      <c r="C332" s="8" t="s">
        <v>284</v>
      </c>
      <c r="D332" s="8" t="s">
        <v>1149</v>
      </c>
      <c r="E332" s="8">
        <v>9.4865756364029594E-2</v>
      </c>
    </row>
    <row r="333" spans="1:5" ht="24.75" x14ac:dyDescent="0.25">
      <c r="A333" s="8" t="s">
        <v>338</v>
      </c>
      <c r="B333" s="8" t="s">
        <v>224</v>
      </c>
      <c r="C333" s="8" t="s">
        <v>284</v>
      </c>
      <c r="D333" s="8" t="s">
        <v>1150</v>
      </c>
      <c r="E333" s="8">
        <v>1.4766484524412915</v>
      </c>
    </row>
    <row r="334" spans="1:5" ht="24.75" x14ac:dyDescent="0.25">
      <c r="A334" s="8" t="s">
        <v>338</v>
      </c>
      <c r="B334" s="8" t="s">
        <v>224</v>
      </c>
      <c r="C334" s="8" t="s">
        <v>284</v>
      </c>
      <c r="D334" s="8" t="s">
        <v>1151</v>
      </c>
      <c r="E334" s="8">
        <v>8.0373287649637845E-2</v>
      </c>
    </row>
    <row r="335" spans="1:5" ht="24.75" x14ac:dyDescent="0.25">
      <c r="A335" s="8" t="s">
        <v>338</v>
      </c>
      <c r="B335" s="8" t="s">
        <v>224</v>
      </c>
      <c r="C335" s="8" t="s">
        <v>284</v>
      </c>
      <c r="D335" s="8" t="s">
        <v>1152</v>
      </c>
      <c r="E335" s="8">
        <v>1.5646353247016858</v>
      </c>
    </row>
    <row r="336" spans="1:5" ht="24.75" x14ac:dyDescent="0.25">
      <c r="A336" s="8" t="s">
        <v>338</v>
      </c>
      <c r="B336" s="8" t="s">
        <v>224</v>
      </c>
      <c r="C336" s="8" t="s">
        <v>284</v>
      </c>
      <c r="D336" s="8" t="s">
        <v>1153</v>
      </c>
      <c r="E336" s="8">
        <v>0.30574132216425226</v>
      </c>
    </row>
    <row r="337" spans="1:5" ht="24.75" x14ac:dyDescent="0.25">
      <c r="A337" s="8" t="s">
        <v>338</v>
      </c>
      <c r="B337" s="8" t="s">
        <v>224</v>
      </c>
      <c r="C337" s="8" t="s">
        <v>284</v>
      </c>
      <c r="D337" s="8" t="s">
        <v>1154</v>
      </c>
      <c r="E337" s="8">
        <v>5.13444305366621E-2</v>
      </c>
    </row>
    <row r="338" spans="1:5" ht="24.75" x14ac:dyDescent="0.25">
      <c r="A338" s="8" t="s">
        <v>338</v>
      </c>
      <c r="B338" s="8" t="s">
        <v>224</v>
      </c>
      <c r="C338" s="8" t="s">
        <v>284</v>
      </c>
      <c r="D338" s="8" t="s">
        <v>1155</v>
      </c>
      <c r="E338" s="8">
        <v>0.91969587372124029</v>
      </c>
    </row>
    <row r="339" spans="1:5" ht="24.75" x14ac:dyDescent="0.25">
      <c r="A339" s="8" t="s">
        <v>338</v>
      </c>
      <c r="B339" s="8" t="s">
        <v>224</v>
      </c>
      <c r="C339" s="8" t="s">
        <v>284</v>
      </c>
      <c r="D339" s="8" t="s">
        <v>1156</v>
      </c>
      <c r="E339" s="8">
        <v>1.3813818899052972</v>
      </c>
    </row>
    <row r="340" spans="1:5" ht="24.75" x14ac:dyDescent="0.25">
      <c r="A340" s="8" t="s">
        <v>338</v>
      </c>
      <c r="B340" s="8" t="s">
        <v>224</v>
      </c>
      <c r="C340" s="8" t="s">
        <v>284</v>
      </c>
      <c r="D340" s="8" t="s">
        <v>1157</v>
      </c>
      <c r="E340" s="8">
        <v>5.4852900379934295E-2</v>
      </c>
    </row>
    <row r="341" spans="1:5" ht="24.75" x14ac:dyDescent="0.25">
      <c r="A341" s="8" t="s">
        <v>338</v>
      </c>
      <c r="B341" s="8" t="s">
        <v>224</v>
      </c>
      <c r="C341" s="8" t="s">
        <v>284</v>
      </c>
      <c r="D341" s="8" t="s">
        <v>1158</v>
      </c>
      <c r="E341" s="8">
        <v>1.0194773152750949</v>
      </c>
    </row>
    <row r="342" spans="1:5" ht="24.75" x14ac:dyDescent="0.25">
      <c r="A342" s="8" t="s">
        <v>338</v>
      </c>
      <c r="B342" s="8" t="s">
        <v>224</v>
      </c>
      <c r="C342" s="8" t="s">
        <v>284</v>
      </c>
      <c r="D342" s="8" t="s">
        <v>1159</v>
      </c>
      <c r="E342" s="8">
        <v>0.88682137464419986</v>
      </c>
    </row>
    <row r="343" spans="1:5" ht="24.75" x14ac:dyDescent="0.25">
      <c r="A343" s="8" t="s">
        <v>338</v>
      </c>
      <c r="B343" s="8" t="s">
        <v>224</v>
      </c>
      <c r="C343" s="8" t="s">
        <v>284</v>
      </c>
      <c r="D343" s="8" t="s">
        <v>1160</v>
      </c>
      <c r="E343" s="8">
        <v>0.77080665503672419</v>
      </c>
    </row>
    <row r="344" spans="1:5" ht="24.75" x14ac:dyDescent="0.25">
      <c r="A344" s="8" t="s">
        <v>338</v>
      </c>
      <c r="B344" s="8" t="s">
        <v>224</v>
      </c>
      <c r="C344" s="8" t="s">
        <v>284</v>
      </c>
      <c r="D344" s="8" t="s">
        <v>1161</v>
      </c>
      <c r="E344" s="8">
        <v>15.553674288838078</v>
      </c>
    </row>
    <row r="345" spans="1:5" ht="24.75" x14ac:dyDescent="0.25">
      <c r="A345" s="8" t="s">
        <v>338</v>
      </c>
      <c r="B345" s="8" t="s">
        <v>224</v>
      </c>
      <c r="C345" s="8" t="s">
        <v>284</v>
      </c>
      <c r="D345" s="8" t="s">
        <v>1162</v>
      </c>
      <c r="E345" s="8">
        <v>11.957231893238015</v>
      </c>
    </row>
    <row r="346" spans="1:5" ht="24.75" x14ac:dyDescent="0.25">
      <c r="A346" s="8" t="s">
        <v>338</v>
      </c>
      <c r="B346" s="8" t="s">
        <v>224</v>
      </c>
      <c r="C346" s="8" t="s">
        <v>284</v>
      </c>
      <c r="D346" s="8" t="s">
        <v>1163</v>
      </c>
      <c r="E346" s="8">
        <v>0.61889108843375995</v>
      </c>
    </row>
    <row r="347" spans="1:5" ht="24.75" x14ac:dyDescent="0.25">
      <c r="A347" s="8" t="s">
        <v>338</v>
      </c>
      <c r="B347" s="8" t="s">
        <v>224</v>
      </c>
      <c r="C347" s="8" t="s">
        <v>284</v>
      </c>
      <c r="D347" s="8" t="s">
        <v>1164</v>
      </c>
      <c r="E347" s="8">
        <v>1.874846192167583</v>
      </c>
    </row>
    <row r="348" spans="1:5" ht="24.75" x14ac:dyDescent="0.25">
      <c r="A348" s="8" t="s">
        <v>338</v>
      </c>
      <c r="B348" s="8" t="s">
        <v>224</v>
      </c>
      <c r="C348" s="8" t="s">
        <v>284</v>
      </c>
      <c r="D348" s="8" t="s">
        <v>1165</v>
      </c>
      <c r="E348" s="8">
        <v>8.1282165300850249</v>
      </c>
    </row>
    <row r="349" spans="1:5" ht="24.75" x14ac:dyDescent="0.25">
      <c r="A349" s="8" t="s">
        <v>338</v>
      </c>
      <c r="B349" s="8" t="s">
        <v>224</v>
      </c>
      <c r="C349" s="8" t="s">
        <v>284</v>
      </c>
      <c r="D349" s="8" t="s">
        <v>1166</v>
      </c>
      <c r="E349" s="8">
        <v>11.905599054197248</v>
      </c>
    </row>
    <row r="350" spans="1:5" ht="24.75" x14ac:dyDescent="0.25">
      <c r="A350" s="8" t="s">
        <v>338</v>
      </c>
      <c r="B350" s="8" t="s">
        <v>224</v>
      </c>
      <c r="C350" s="8" t="s">
        <v>284</v>
      </c>
      <c r="D350" s="8" t="s">
        <v>1167</v>
      </c>
      <c r="E350" s="8">
        <v>5.71741055859597E-2</v>
      </c>
    </row>
    <row r="351" spans="1:5" ht="24.75" x14ac:dyDescent="0.25">
      <c r="A351" s="8" t="s">
        <v>338</v>
      </c>
      <c r="B351" s="8" t="s">
        <v>224</v>
      </c>
      <c r="C351" s="8" t="s">
        <v>284</v>
      </c>
      <c r="D351" s="8" t="s">
        <v>1168</v>
      </c>
      <c r="E351" s="8">
        <v>0.46931093168671001</v>
      </c>
    </row>
    <row r="352" spans="1:5" ht="24.75" x14ac:dyDescent="0.25">
      <c r="A352" s="8" t="s">
        <v>338</v>
      </c>
      <c r="B352" s="8" t="s">
        <v>224</v>
      </c>
      <c r="C352" s="8" t="s">
        <v>284</v>
      </c>
      <c r="D352" s="8" t="s">
        <v>1169</v>
      </c>
      <c r="E352" s="8">
        <v>1.1287000000000007</v>
      </c>
    </row>
    <row r="353" spans="1:5" ht="24.75" x14ac:dyDescent="0.25">
      <c r="A353" s="8" t="s">
        <v>338</v>
      </c>
      <c r="B353" s="8" t="s">
        <v>224</v>
      </c>
      <c r="C353" s="8" t="s">
        <v>284</v>
      </c>
      <c r="D353" s="8" t="s">
        <v>1170</v>
      </c>
      <c r="E353" s="8">
        <v>4.9129007980814325</v>
      </c>
    </row>
    <row r="354" spans="1:5" ht="24.75" x14ac:dyDescent="0.25">
      <c r="A354" s="8" t="s">
        <v>338</v>
      </c>
      <c r="B354" s="8" t="s">
        <v>224</v>
      </c>
      <c r="C354" s="8" t="s">
        <v>284</v>
      </c>
      <c r="D354" s="8" t="s">
        <v>1171</v>
      </c>
      <c r="E354" s="8">
        <v>4.4727362337223191</v>
      </c>
    </row>
    <row r="355" spans="1:5" ht="24.75" x14ac:dyDescent="0.25">
      <c r="A355" s="8" t="s">
        <v>338</v>
      </c>
      <c r="B355" s="8" t="s">
        <v>224</v>
      </c>
      <c r="C355" s="8" t="s">
        <v>284</v>
      </c>
      <c r="D355" s="8" t="s">
        <v>1172</v>
      </c>
      <c r="E355" s="8">
        <v>16.224784769400124</v>
      </c>
    </row>
    <row r="356" spans="1:5" ht="24.75" x14ac:dyDescent="0.25">
      <c r="A356" s="8" t="s">
        <v>338</v>
      </c>
      <c r="B356" s="8" t="s">
        <v>224</v>
      </c>
      <c r="C356" s="8" t="s">
        <v>284</v>
      </c>
      <c r="D356" s="8" t="s">
        <v>1173</v>
      </c>
      <c r="E356" s="8">
        <v>21.047375674918808</v>
      </c>
    </row>
    <row r="357" spans="1:5" ht="24.75" x14ac:dyDescent="0.25">
      <c r="A357" s="8" t="s">
        <v>338</v>
      </c>
      <c r="B357" s="8" t="s">
        <v>224</v>
      </c>
      <c r="C357" s="8" t="s">
        <v>284</v>
      </c>
      <c r="D357" s="8" t="s">
        <v>1174</v>
      </c>
      <c r="E357" s="8">
        <v>0.19585708042935498</v>
      </c>
    </row>
    <row r="358" spans="1:5" ht="24.75" x14ac:dyDescent="0.25">
      <c r="A358" s="8" t="s">
        <v>338</v>
      </c>
      <c r="B358" s="8" t="s">
        <v>224</v>
      </c>
      <c r="C358" s="8" t="s">
        <v>284</v>
      </c>
      <c r="D358" s="8" t="s">
        <v>1175</v>
      </c>
      <c r="E358" s="8">
        <v>1.8588360123714933</v>
      </c>
    </row>
    <row r="359" spans="1:5" ht="24.75" x14ac:dyDescent="0.25">
      <c r="A359" s="8" t="s">
        <v>338</v>
      </c>
      <c r="B359" s="8" t="s">
        <v>224</v>
      </c>
      <c r="C359" s="8" t="s">
        <v>284</v>
      </c>
      <c r="D359" s="8" t="s">
        <v>1176</v>
      </c>
      <c r="E359" s="8">
        <v>1.6580844190510429</v>
      </c>
    </row>
    <row r="360" spans="1:5" ht="24.75" x14ac:dyDescent="0.25">
      <c r="A360" s="8" t="s">
        <v>338</v>
      </c>
      <c r="B360" s="8" t="s">
        <v>224</v>
      </c>
      <c r="C360" s="8" t="s">
        <v>284</v>
      </c>
      <c r="D360" s="8" t="s">
        <v>1177</v>
      </c>
      <c r="E360" s="8">
        <v>1.1331623401084638</v>
      </c>
    </row>
    <row r="361" spans="1:5" ht="24.75" x14ac:dyDescent="0.25">
      <c r="A361" s="8" t="s">
        <v>338</v>
      </c>
      <c r="B361" s="8" t="s">
        <v>224</v>
      </c>
      <c r="C361" s="8" t="s">
        <v>284</v>
      </c>
      <c r="D361" s="8" t="s">
        <v>1178</v>
      </c>
      <c r="E361" s="8">
        <v>4.063464560503683E-2</v>
      </c>
    </row>
    <row r="362" spans="1:5" ht="24.75" x14ac:dyDescent="0.25">
      <c r="A362" s="8" t="s">
        <v>338</v>
      </c>
      <c r="B362" s="8" t="s">
        <v>224</v>
      </c>
      <c r="C362" s="8" t="s">
        <v>284</v>
      </c>
      <c r="D362" s="8" t="s">
        <v>1179</v>
      </c>
      <c r="E362" s="8">
        <v>0.31994547541400808</v>
      </c>
    </row>
    <row r="363" spans="1:5" ht="24.75" x14ac:dyDescent="0.25">
      <c r="A363" s="8" t="s">
        <v>338</v>
      </c>
      <c r="B363" s="8" t="s">
        <v>224</v>
      </c>
      <c r="C363" s="8" t="s">
        <v>284</v>
      </c>
      <c r="D363" s="8" t="s">
        <v>1180</v>
      </c>
      <c r="E363" s="8">
        <v>6.2450893515867641E-2</v>
      </c>
    </row>
    <row r="364" spans="1:5" ht="24.75" x14ac:dyDescent="0.25">
      <c r="A364" s="8" t="s">
        <v>338</v>
      </c>
      <c r="B364" s="8" t="s">
        <v>224</v>
      </c>
      <c r="C364" s="8" t="s">
        <v>284</v>
      </c>
      <c r="D364" s="8" t="s">
        <v>1181</v>
      </c>
      <c r="E364" s="8">
        <v>0.29789453499465168</v>
      </c>
    </row>
    <row r="365" spans="1:5" ht="24.75" x14ac:dyDescent="0.25">
      <c r="A365" s="8" t="s">
        <v>338</v>
      </c>
      <c r="B365" s="8" t="s">
        <v>224</v>
      </c>
      <c r="C365" s="8" t="s">
        <v>284</v>
      </c>
      <c r="D365" s="8" t="s">
        <v>1182</v>
      </c>
      <c r="E365" s="8">
        <v>0.10348104676824729</v>
      </c>
    </row>
    <row r="366" spans="1:5" ht="24.75" x14ac:dyDescent="0.25">
      <c r="A366" s="8" t="s">
        <v>338</v>
      </c>
      <c r="B366" s="8" t="s">
        <v>224</v>
      </c>
      <c r="C366" s="8" t="s">
        <v>284</v>
      </c>
      <c r="D366" s="8" t="s">
        <v>1183</v>
      </c>
      <c r="E366" s="8">
        <v>26.791779510783975</v>
      </c>
    </row>
    <row r="367" spans="1:5" ht="24.75" x14ac:dyDescent="0.25">
      <c r="A367" s="8" t="s">
        <v>338</v>
      </c>
      <c r="B367" s="8" t="s">
        <v>224</v>
      </c>
      <c r="C367" s="8" t="s">
        <v>284</v>
      </c>
      <c r="D367" s="8" t="s">
        <v>1184</v>
      </c>
      <c r="E367" s="8">
        <v>0.25442276096409838</v>
      </c>
    </row>
    <row r="368" spans="1:5" ht="24.75" x14ac:dyDescent="0.25">
      <c r="A368" s="8" t="s">
        <v>338</v>
      </c>
      <c r="B368" s="8" t="s">
        <v>224</v>
      </c>
      <c r="C368" s="8" t="s">
        <v>284</v>
      </c>
      <c r="D368" s="8" t="s">
        <v>1185</v>
      </c>
      <c r="E368" s="8">
        <v>4.3210318399998796E-2</v>
      </c>
    </row>
    <row r="369" spans="1:5" ht="24.75" x14ac:dyDescent="0.25">
      <c r="A369" s="8" t="s">
        <v>338</v>
      </c>
      <c r="B369" s="8" t="s">
        <v>224</v>
      </c>
      <c r="C369" s="8" t="s">
        <v>284</v>
      </c>
      <c r="D369" s="8" t="s">
        <v>1186</v>
      </c>
      <c r="E369" s="8">
        <v>0.93510674445708608</v>
      </c>
    </row>
    <row r="370" spans="1:5" ht="24.75" x14ac:dyDescent="0.25">
      <c r="A370" s="8" t="s">
        <v>338</v>
      </c>
      <c r="B370" s="8" t="s">
        <v>224</v>
      </c>
      <c r="C370" s="8" t="s">
        <v>284</v>
      </c>
      <c r="D370" s="8" t="s">
        <v>1187</v>
      </c>
      <c r="E370" s="8">
        <v>0.56694562700380835</v>
      </c>
    </row>
    <row r="371" spans="1:5" ht="24.75" x14ac:dyDescent="0.25">
      <c r="A371" s="8" t="s">
        <v>338</v>
      </c>
      <c r="B371" s="8" t="s">
        <v>224</v>
      </c>
      <c r="C371" s="8" t="s">
        <v>284</v>
      </c>
      <c r="D371" s="8" t="s">
        <v>1188</v>
      </c>
      <c r="E371" s="8">
        <v>0.7203710566820084</v>
      </c>
    </row>
    <row r="372" spans="1:5" ht="24.75" x14ac:dyDescent="0.25">
      <c r="A372" s="8" t="s">
        <v>338</v>
      </c>
      <c r="B372" s="8" t="s">
        <v>224</v>
      </c>
      <c r="C372" s="8" t="s">
        <v>284</v>
      </c>
      <c r="D372" s="8" t="s">
        <v>1189</v>
      </c>
      <c r="E372" s="8">
        <v>2.7821278924267023</v>
      </c>
    </row>
    <row r="373" spans="1:5" ht="24.75" x14ac:dyDescent="0.25">
      <c r="A373" s="8" t="s">
        <v>338</v>
      </c>
      <c r="B373" s="8" t="s">
        <v>224</v>
      </c>
      <c r="C373" s="8" t="s">
        <v>284</v>
      </c>
      <c r="D373" s="8" t="s">
        <v>1190</v>
      </c>
      <c r="E373" s="8">
        <v>0.67868300553401073</v>
      </c>
    </row>
    <row r="374" spans="1:5" ht="24.75" x14ac:dyDescent="0.25">
      <c r="A374" s="8" t="s">
        <v>338</v>
      </c>
      <c r="B374" s="8" t="s">
        <v>224</v>
      </c>
      <c r="C374" s="8" t="s">
        <v>284</v>
      </c>
      <c r="D374" s="8" t="s">
        <v>1191</v>
      </c>
      <c r="E374" s="8">
        <v>3.9340736111420074</v>
      </c>
    </row>
    <row r="375" spans="1:5" ht="24.75" x14ac:dyDescent="0.25">
      <c r="A375" s="8" t="s">
        <v>338</v>
      </c>
      <c r="B375" s="8" t="s">
        <v>224</v>
      </c>
      <c r="C375" s="8" t="s">
        <v>284</v>
      </c>
      <c r="D375" s="8" t="s">
        <v>1192</v>
      </c>
      <c r="E375" s="8">
        <v>0.51796861459716714</v>
      </c>
    </row>
    <row r="376" spans="1:5" ht="24.75" x14ac:dyDescent="0.25">
      <c r="A376" s="8" t="s">
        <v>338</v>
      </c>
      <c r="B376" s="8" t="s">
        <v>224</v>
      </c>
      <c r="C376" s="8" t="s">
        <v>284</v>
      </c>
      <c r="D376" s="8" t="s">
        <v>1193</v>
      </c>
      <c r="E376" s="8">
        <v>0.70266698018577933</v>
      </c>
    </row>
    <row r="377" spans="1:5" ht="24.75" x14ac:dyDescent="0.25">
      <c r="A377" s="8" t="s">
        <v>338</v>
      </c>
      <c r="B377" s="8" t="s">
        <v>224</v>
      </c>
      <c r="C377" s="8" t="s">
        <v>284</v>
      </c>
      <c r="D377" s="8" t="s">
        <v>1194</v>
      </c>
      <c r="E377" s="8">
        <v>0.98830732490641837</v>
      </c>
    </row>
    <row r="378" spans="1:5" ht="24.75" x14ac:dyDescent="0.25">
      <c r="A378" s="8" t="s">
        <v>338</v>
      </c>
      <c r="B378" s="8" t="s">
        <v>224</v>
      </c>
      <c r="C378" s="8" t="s">
        <v>284</v>
      </c>
      <c r="D378" s="8" t="s">
        <v>1195</v>
      </c>
      <c r="E378" s="8">
        <v>0.15752207729275586</v>
      </c>
    </row>
    <row r="379" spans="1:5" ht="24.75" x14ac:dyDescent="0.25">
      <c r="A379" s="8" t="s">
        <v>338</v>
      </c>
      <c r="B379" s="8" t="s">
        <v>224</v>
      </c>
      <c r="C379" s="8" t="s">
        <v>284</v>
      </c>
      <c r="D379" s="8" t="s">
        <v>1196</v>
      </c>
      <c r="E379" s="8">
        <v>1.0970100000000007</v>
      </c>
    </row>
    <row r="380" spans="1:5" ht="24.75" x14ac:dyDescent="0.25">
      <c r="A380" s="8" t="s">
        <v>338</v>
      </c>
      <c r="B380" s="8" t="s">
        <v>224</v>
      </c>
      <c r="C380" s="8" t="s">
        <v>284</v>
      </c>
      <c r="D380" s="8" t="s">
        <v>1197</v>
      </c>
      <c r="E380" s="8">
        <v>5.3622121469123957E-2</v>
      </c>
    </row>
    <row r="381" spans="1:5" ht="24.75" x14ac:dyDescent="0.25">
      <c r="A381" s="8" t="s">
        <v>338</v>
      </c>
      <c r="B381" s="8" t="s">
        <v>224</v>
      </c>
      <c r="C381" s="8" t="s">
        <v>284</v>
      </c>
      <c r="D381" s="8" t="s">
        <v>1198</v>
      </c>
      <c r="E381" s="8">
        <v>0.89451450569205126</v>
      </c>
    </row>
    <row r="382" spans="1:5" ht="24.75" x14ac:dyDescent="0.25">
      <c r="A382" s="8" t="s">
        <v>338</v>
      </c>
      <c r="B382" s="8" t="s">
        <v>224</v>
      </c>
      <c r="C382" s="8" t="s">
        <v>284</v>
      </c>
      <c r="D382" s="8" t="s">
        <v>1199</v>
      </c>
      <c r="E382" s="8">
        <v>1.0970100000000007</v>
      </c>
    </row>
    <row r="383" spans="1:5" ht="24.75" x14ac:dyDescent="0.25">
      <c r="A383" s="8" t="s">
        <v>338</v>
      </c>
      <c r="B383" s="8" t="s">
        <v>224</v>
      </c>
      <c r="C383" s="8" t="s">
        <v>284</v>
      </c>
      <c r="D383" s="8" t="s">
        <v>1200</v>
      </c>
      <c r="E383" s="8">
        <v>0.23362212999595378</v>
      </c>
    </row>
    <row r="384" spans="1:5" ht="24.75" x14ac:dyDescent="0.25">
      <c r="A384" s="8" t="s">
        <v>338</v>
      </c>
      <c r="B384" s="8" t="s">
        <v>224</v>
      </c>
      <c r="C384" s="8" t="s">
        <v>284</v>
      </c>
      <c r="D384" s="8" t="s">
        <v>1201</v>
      </c>
      <c r="E384" s="8">
        <v>0.28594532470180423</v>
      </c>
    </row>
    <row r="385" spans="1:5" ht="24.75" x14ac:dyDescent="0.25">
      <c r="A385" s="8" t="s">
        <v>338</v>
      </c>
      <c r="B385" s="8" t="s">
        <v>224</v>
      </c>
      <c r="C385" s="8" t="s">
        <v>284</v>
      </c>
      <c r="D385" s="8" t="s">
        <v>1202</v>
      </c>
      <c r="E385" s="8">
        <v>1.8840546613695695</v>
      </c>
    </row>
    <row r="386" spans="1:5" ht="24.75" x14ac:dyDescent="0.25">
      <c r="A386" s="8" t="s">
        <v>338</v>
      </c>
      <c r="B386" s="8" t="s">
        <v>224</v>
      </c>
      <c r="C386" s="8" t="s">
        <v>284</v>
      </c>
      <c r="D386" s="8" t="s">
        <v>1203</v>
      </c>
      <c r="E386" s="8">
        <v>5.9702412988073004</v>
      </c>
    </row>
    <row r="387" spans="1:5" ht="24.75" x14ac:dyDescent="0.25">
      <c r="A387" s="8" t="s">
        <v>338</v>
      </c>
      <c r="B387" s="8" t="s">
        <v>224</v>
      </c>
      <c r="C387" s="8" t="s">
        <v>284</v>
      </c>
      <c r="D387" s="8" t="s">
        <v>1204</v>
      </c>
      <c r="E387" s="8">
        <v>0.23649455419520693</v>
      </c>
    </row>
    <row r="388" spans="1:5" ht="24.75" x14ac:dyDescent="0.25">
      <c r="A388" s="8" t="s">
        <v>338</v>
      </c>
      <c r="B388" s="8" t="s">
        <v>224</v>
      </c>
      <c r="C388" s="8" t="s">
        <v>284</v>
      </c>
      <c r="D388" s="8" t="s">
        <v>1205</v>
      </c>
      <c r="E388" s="8">
        <v>0.23649453299686871</v>
      </c>
    </row>
    <row r="389" spans="1:5" ht="24.75" x14ac:dyDescent="0.25">
      <c r="A389" s="8" t="s">
        <v>338</v>
      </c>
      <c r="B389" s="8" t="s">
        <v>224</v>
      </c>
      <c r="C389" s="8" t="s">
        <v>284</v>
      </c>
      <c r="D389" s="8" t="s">
        <v>1206</v>
      </c>
      <c r="E389" s="8">
        <v>0.25449453490135299</v>
      </c>
    </row>
    <row r="390" spans="1:5" ht="24.75" x14ac:dyDescent="0.25">
      <c r="A390" s="8" t="s">
        <v>338</v>
      </c>
      <c r="B390" s="8" t="s">
        <v>224</v>
      </c>
      <c r="C390" s="8" t="s">
        <v>284</v>
      </c>
      <c r="D390" s="8" t="s">
        <v>1207</v>
      </c>
      <c r="E390" s="8">
        <v>0.25453551992862294</v>
      </c>
    </row>
    <row r="391" spans="1:5" ht="24.75" x14ac:dyDescent="0.25">
      <c r="A391" s="8" t="s">
        <v>338</v>
      </c>
      <c r="B391" s="8" t="s">
        <v>224</v>
      </c>
      <c r="C391" s="8" t="s">
        <v>284</v>
      </c>
      <c r="D391" s="8" t="s">
        <v>1208</v>
      </c>
      <c r="E391" s="8">
        <v>8.3000310999760823E-2</v>
      </c>
    </row>
    <row r="392" spans="1:5" ht="24.75" x14ac:dyDescent="0.25">
      <c r="A392" s="8" t="s">
        <v>338</v>
      </c>
      <c r="B392" s="8" t="s">
        <v>224</v>
      </c>
      <c r="C392" s="8" t="s">
        <v>284</v>
      </c>
      <c r="D392" s="8" t="s">
        <v>1209</v>
      </c>
      <c r="E392" s="8">
        <v>0.12071431625628837</v>
      </c>
    </row>
    <row r="393" spans="1:5" ht="24.75" x14ac:dyDescent="0.25">
      <c r="A393" s="8" t="s">
        <v>338</v>
      </c>
      <c r="B393" s="8" t="s">
        <v>224</v>
      </c>
      <c r="C393" s="8" t="s">
        <v>284</v>
      </c>
      <c r="D393" s="8" t="s">
        <v>1210</v>
      </c>
      <c r="E393" s="8">
        <v>0.12073718568308239</v>
      </c>
    </row>
    <row r="394" spans="1:5" ht="24.75" x14ac:dyDescent="0.25">
      <c r="A394" s="8" t="s">
        <v>338</v>
      </c>
      <c r="B394" s="8" t="s">
        <v>224</v>
      </c>
      <c r="C394" s="8" t="s">
        <v>284</v>
      </c>
      <c r="D394" s="8" t="s">
        <v>1211</v>
      </c>
      <c r="E394" s="8">
        <v>0.23649454056275196</v>
      </c>
    </row>
    <row r="395" spans="1:5" ht="24.75" x14ac:dyDescent="0.25">
      <c r="A395" s="8" t="s">
        <v>338</v>
      </c>
      <c r="B395" s="8" t="s">
        <v>224</v>
      </c>
      <c r="C395" s="8" t="s">
        <v>284</v>
      </c>
      <c r="D395" s="8" t="s">
        <v>1212</v>
      </c>
      <c r="E395" s="8">
        <v>0.12042629466571586</v>
      </c>
    </row>
    <row r="396" spans="1:5" ht="24.75" x14ac:dyDescent="0.25">
      <c r="A396" s="8" t="s">
        <v>338</v>
      </c>
      <c r="B396" s="8" t="s">
        <v>224</v>
      </c>
      <c r="C396" s="8" t="s">
        <v>284</v>
      </c>
      <c r="D396" s="8" t="s">
        <v>1213</v>
      </c>
      <c r="E396" s="8">
        <v>0.25449458162428595</v>
      </c>
    </row>
    <row r="397" spans="1:5" ht="24.75" x14ac:dyDescent="0.25">
      <c r="A397" s="8" t="s">
        <v>338</v>
      </c>
      <c r="B397" s="8" t="s">
        <v>224</v>
      </c>
      <c r="C397" s="8" t="s">
        <v>284</v>
      </c>
      <c r="D397" s="8" t="s">
        <v>1214</v>
      </c>
      <c r="E397" s="8">
        <v>0.23629459723861945</v>
      </c>
    </row>
    <row r="398" spans="1:5" ht="24.75" x14ac:dyDescent="0.25">
      <c r="A398" s="8" t="s">
        <v>338</v>
      </c>
      <c r="B398" s="8" t="s">
        <v>224</v>
      </c>
      <c r="C398" s="8" t="s">
        <v>284</v>
      </c>
      <c r="D398" s="8" t="s">
        <v>1215</v>
      </c>
      <c r="E398" s="8">
        <v>0.25449459940718183</v>
      </c>
    </row>
    <row r="399" spans="1:5" ht="24.75" x14ac:dyDescent="0.25">
      <c r="A399" s="8" t="s">
        <v>338</v>
      </c>
      <c r="B399" s="8" t="s">
        <v>224</v>
      </c>
      <c r="C399" s="8" t="s">
        <v>284</v>
      </c>
      <c r="D399" s="8" t="s">
        <v>1216</v>
      </c>
      <c r="E399" s="8">
        <v>0.11925307507483612</v>
      </c>
    </row>
    <row r="400" spans="1:5" ht="24.75" x14ac:dyDescent="0.25">
      <c r="A400" s="8" t="s">
        <v>338</v>
      </c>
      <c r="B400" s="8" t="s">
        <v>224</v>
      </c>
      <c r="C400" s="8" t="s">
        <v>284</v>
      </c>
      <c r="D400" s="8" t="s">
        <v>1217</v>
      </c>
      <c r="E400" s="8">
        <v>0.11982725672239639</v>
      </c>
    </row>
    <row r="401" spans="1:5" ht="24.75" x14ac:dyDescent="0.25">
      <c r="A401" s="8" t="s">
        <v>338</v>
      </c>
      <c r="B401" s="8" t="s">
        <v>224</v>
      </c>
      <c r="C401" s="8" t="s">
        <v>284</v>
      </c>
      <c r="D401" s="8" t="s">
        <v>1218</v>
      </c>
      <c r="E401" s="8">
        <v>0.11954432420747525</v>
      </c>
    </row>
    <row r="402" spans="1:5" ht="24.75" x14ac:dyDescent="0.25">
      <c r="A402" s="8" t="s">
        <v>338</v>
      </c>
      <c r="B402" s="8" t="s">
        <v>224</v>
      </c>
      <c r="C402" s="8" t="s">
        <v>284</v>
      </c>
      <c r="D402" s="8" t="s">
        <v>1219</v>
      </c>
      <c r="E402" s="8">
        <v>0.25585323640950536</v>
      </c>
    </row>
    <row r="403" spans="1:5" ht="24.75" x14ac:dyDescent="0.25">
      <c r="A403" s="8" t="s">
        <v>338</v>
      </c>
      <c r="B403" s="8" t="s">
        <v>224</v>
      </c>
      <c r="C403" s="8" t="s">
        <v>284</v>
      </c>
      <c r="D403" s="8" t="s">
        <v>1220</v>
      </c>
      <c r="E403" s="8">
        <v>1.0156341985982398</v>
      </c>
    </row>
    <row r="404" spans="1:5" ht="24.75" x14ac:dyDescent="0.25">
      <c r="A404" s="8" t="s">
        <v>338</v>
      </c>
      <c r="B404" s="8" t="s">
        <v>224</v>
      </c>
      <c r="C404" s="8" t="s">
        <v>284</v>
      </c>
      <c r="D404" s="8" t="s">
        <v>1221</v>
      </c>
      <c r="E404" s="8">
        <v>5.6926707328748681E-2</v>
      </c>
    </row>
    <row r="405" spans="1:5" ht="24.75" x14ac:dyDescent="0.25">
      <c r="A405" s="8" t="s">
        <v>338</v>
      </c>
      <c r="B405" s="8" t="s">
        <v>224</v>
      </c>
      <c r="C405" s="8" t="s">
        <v>284</v>
      </c>
      <c r="D405" s="8" t="s">
        <v>1222</v>
      </c>
      <c r="E405" s="8">
        <v>1.2861343881689538</v>
      </c>
    </row>
    <row r="406" spans="1:5" x14ac:dyDescent="0.25">
      <c r="A406" s="1" t="s">
        <v>198</v>
      </c>
      <c r="B406" s="1" t="s">
        <v>198</v>
      </c>
      <c r="C406" s="1">
        <f>SUBTOTAL(103,Elements13_2_201[Elemento])</f>
        <v>399</v>
      </c>
      <c r="D406" s="1" t="s">
        <v>198</v>
      </c>
      <c r="E406" s="1">
        <f>SUBTOTAL(109,Elements13_2_201[Totais:])</f>
        <v>645.64648482015843</v>
      </c>
    </row>
  </sheetData>
  <mergeCells count="3">
    <mergeCell ref="A1:E2"/>
    <mergeCell ref="A4:E4"/>
    <mergeCell ref="A5:E5"/>
  </mergeCells>
  <hyperlinks>
    <hyperlink ref="A1" location="'13.2.20'!A1" display="TUBO DE PVC RIGIDO SOLDAVEL,PARA AGUA FRIA, COM DIAMETRO DE 25MM.FORNECIMENTO" xr:uid="{00000000-0004-0000-4500-000000000000}"/>
    <hyperlink ref="B1" location="'13.2.20'!A1" display="TUBO DE PVC RIGIDO SOLDAVEL,PARA AGUA FRIA, COM DIAMETRO DE 25MM.FORNECIMENTO" xr:uid="{00000000-0004-0000-4500-000001000000}"/>
    <hyperlink ref="C1" location="'13.2.20'!A1" display="TUBO DE PVC RIGIDO SOLDAVEL,PARA AGUA FRIA, COM DIAMETRO DE 25MM.FORNECIMENTO" xr:uid="{00000000-0004-0000-4500-000002000000}"/>
    <hyperlink ref="D1" location="'13.2.20'!A1" display="TUBO DE PVC RIGIDO SOLDAVEL,PARA AGUA FRIA, COM DIAMETRO DE 25MM.FORNECIMENTO" xr:uid="{00000000-0004-0000-4500-000003000000}"/>
    <hyperlink ref="E1" location="'13.2.20'!A1" display="TUBO DE PVC RIGIDO SOLDAVEL,PARA AGUA FRIA, COM DIAMETRO DE 25MM.FORNECIMENTO" xr:uid="{00000000-0004-0000-4500-000004000000}"/>
    <hyperlink ref="A2" location="'13.2.20'!A1" display="TUBO DE PVC RIGIDO SOLDAVEL,PARA AGUA FRIA, COM DIAMETRO DE 25MM.FORNECIMENTO" xr:uid="{00000000-0004-0000-4500-000005000000}"/>
    <hyperlink ref="B2" location="'13.2.20'!A1" display="TUBO DE PVC RIGIDO SOLDAVEL,PARA AGUA FRIA, COM DIAMETRO DE 25MM.FORNECIMENTO" xr:uid="{00000000-0004-0000-4500-000006000000}"/>
    <hyperlink ref="C2" location="'13.2.20'!A1" display="TUBO DE PVC RIGIDO SOLDAVEL,PARA AGUA FRIA, COM DIAMETRO DE 25MM.FORNECIMENTO" xr:uid="{00000000-0004-0000-4500-000007000000}"/>
    <hyperlink ref="D2" location="'13.2.20'!A1" display="TUBO DE PVC RIGIDO SOLDAVEL,PARA AGUA FRIA, COM DIAMETRO DE 25MM.FORNECIMENTO" xr:uid="{00000000-0004-0000-4500-000008000000}"/>
    <hyperlink ref="E2" location="'13.2.20'!A1" display="TUBO DE PVC RIGIDO SOLDAVEL,PARA AGUA FRIA, COM DIAMETRO DE 25MM.FORNECIMENTO" xr:uid="{00000000-0004-0000-4500-000009000000}"/>
    <hyperlink ref="A4" location="'13.2.20'!A1" display="Tubulação" xr:uid="{00000000-0004-0000-4500-00000A000000}"/>
    <hyperlink ref="B4" location="'13.2.20'!A1" display="Tubulação" xr:uid="{00000000-0004-0000-4500-00000B000000}"/>
    <hyperlink ref="C4" location="'13.2.20'!A1" display="Tubulação" xr:uid="{00000000-0004-0000-4500-00000C000000}"/>
    <hyperlink ref="D4" location="'13.2.20'!A1" display="Tubulação" xr:uid="{00000000-0004-0000-4500-00000D000000}"/>
    <hyperlink ref="E4" location="'13.2.20'!A1" display="Tubulação" xr:uid="{00000000-0004-0000-4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E30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95</v>
      </c>
      <c r="B1" s="20" t="s">
        <v>95</v>
      </c>
      <c r="C1" s="20" t="s">
        <v>95</v>
      </c>
      <c r="D1" s="20" t="s">
        <v>95</v>
      </c>
      <c r="E1" s="20" t="s">
        <v>95</v>
      </c>
    </row>
    <row r="2" spans="1:5" x14ac:dyDescent="0.25">
      <c r="A2" s="20" t="s">
        <v>95</v>
      </c>
      <c r="B2" s="20" t="s">
        <v>95</v>
      </c>
      <c r="C2" s="20" t="s">
        <v>95</v>
      </c>
      <c r="D2" s="20" t="s">
        <v>95</v>
      </c>
      <c r="E2" s="20" t="s">
        <v>95</v>
      </c>
    </row>
    <row r="4" spans="1:5" x14ac:dyDescent="0.25">
      <c r="A4" s="15" t="s">
        <v>277</v>
      </c>
      <c r="B4" s="15" t="s">
        <v>277</v>
      </c>
      <c r="C4" s="15" t="s">
        <v>277</v>
      </c>
      <c r="D4" s="15" t="s">
        <v>277</v>
      </c>
      <c r="E4" s="15" t="s">
        <v>277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284</v>
      </c>
      <c r="D7" s="8" t="s">
        <v>1223</v>
      </c>
      <c r="E7" s="8">
        <v>0.55079025957166272</v>
      </c>
    </row>
    <row r="8" spans="1:5" ht="24.75" x14ac:dyDescent="0.25">
      <c r="A8" s="8" t="s">
        <v>338</v>
      </c>
      <c r="B8" s="8" t="s">
        <v>224</v>
      </c>
      <c r="C8" s="8" t="s">
        <v>284</v>
      </c>
      <c r="D8" s="8" t="s">
        <v>1224</v>
      </c>
      <c r="E8" s="8">
        <v>0.8467878076973967</v>
      </c>
    </row>
    <row r="9" spans="1:5" ht="24.75" x14ac:dyDescent="0.25">
      <c r="A9" s="8" t="s">
        <v>338</v>
      </c>
      <c r="B9" s="8" t="s">
        <v>224</v>
      </c>
      <c r="C9" s="8" t="s">
        <v>284</v>
      </c>
      <c r="D9" s="8" t="s">
        <v>1225</v>
      </c>
      <c r="E9" s="8">
        <v>5.1872121923026127</v>
      </c>
    </row>
    <row r="10" spans="1:5" ht="24.75" x14ac:dyDescent="0.25">
      <c r="A10" s="8" t="s">
        <v>338</v>
      </c>
      <c r="B10" s="8" t="s">
        <v>224</v>
      </c>
      <c r="C10" s="8" t="s">
        <v>284</v>
      </c>
      <c r="D10" s="8" t="s">
        <v>1226</v>
      </c>
      <c r="E10" s="8">
        <v>5.9923999999999999</v>
      </c>
    </row>
    <row r="11" spans="1:5" ht="24.75" x14ac:dyDescent="0.25">
      <c r="A11" s="8" t="s">
        <v>338</v>
      </c>
      <c r="B11" s="8" t="s">
        <v>224</v>
      </c>
      <c r="C11" s="8" t="s">
        <v>284</v>
      </c>
      <c r="D11" s="8" t="s">
        <v>1227</v>
      </c>
      <c r="E11" s="8">
        <v>5.9924000000000026</v>
      </c>
    </row>
    <row r="12" spans="1:5" ht="24.75" x14ac:dyDescent="0.25">
      <c r="A12" s="8" t="s">
        <v>338</v>
      </c>
      <c r="B12" s="8" t="s">
        <v>224</v>
      </c>
      <c r="C12" s="8" t="s">
        <v>284</v>
      </c>
      <c r="D12" s="8" t="s">
        <v>1228</v>
      </c>
      <c r="E12" s="8">
        <v>5.9924000000000026</v>
      </c>
    </row>
    <row r="13" spans="1:5" ht="24.75" x14ac:dyDescent="0.25">
      <c r="A13" s="8" t="s">
        <v>338</v>
      </c>
      <c r="B13" s="8" t="s">
        <v>224</v>
      </c>
      <c r="C13" s="8" t="s">
        <v>284</v>
      </c>
      <c r="D13" s="8" t="s">
        <v>1229</v>
      </c>
      <c r="E13" s="8">
        <v>5.9924000000000026</v>
      </c>
    </row>
    <row r="14" spans="1:5" ht="24.75" x14ac:dyDescent="0.25">
      <c r="A14" s="8" t="s">
        <v>338</v>
      </c>
      <c r="B14" s="8" t="s">
        <v>224</v>
      </c>
      <c r="C14" s="8" t="s">
        <v>284</v>
      </c>
      <c r="D14" s="8" t="s">
        <v>1230</v>
      </c>
      <c r="E14" s="8">
        <v>9.381500000000015</v>
      </c>
    </row>
    <row r="15" spans="1:5" ht="24.75" x14ac:dyDescent="0.25">
      <c r="A15" s="8" t="s">
        <v>338</v>
      </c>
      <c r="B15" s="8" t="s">
        <v>224</v>
      </c>
      <c r="C15" s="8" t="s">
        <v>284</v>
      </c>
      <c r="D15" s="8" t="s">
        <v>1231</v>
      </c>
      <c r="E15" s="8">
        <v>5.9924000000000026</v>
      </c>
    </row>
    <row r="16" spans="1:5" ht="24.75" x14ac:dyDescent="0.25">
      <c r="A16" s="8" t="s">
        <v>338</v>
      </c>
      <c r="B16" s="8" t="s">
        <v>224</v>
      </c>
      <c r="C16" s="8" t="s">
        <v>284</v>
      </c>
      <c r="D16" s="8" t="s">
        <v>1232</v>
      </c>
      <c r="E16" s="8">
        <v>6.0250250000000065</v>
      </c>
    </row>
    <row r="17" spans="1:5" ht="24.75" x14ac:dyDescent="0.25">
      <c r="A17" s="8" t="s">
        <v>338</v>
      </c>
      <c r="B17" s="8" t="s">
        <v>224</v>
      </c>
      <c r="C17" s="8" t="s">
        <v>284</v>
      </c>
      <c r="D17" s="8" t="s">
        <v>1233</v>
      </c>
      <c r="E17" s="8">
        <v>9.679999999999532E-2</v>
      </c>
    </row>
    <row r="18" spans="1:5" ht="24.75" x14ac:dyDescent="0.25">
      <c r="A18" s="8" t="s">
        <v>338</v>
      </c>
      <c r="B18" s="8" t="s">
        <v>224</v>
      </c>
      <c r="C18" s="8" t="s">
        <v>284</v>
      </c>
      <c r="D18" s="8" t="s">
        <v>1234</v>
      </c>
      <c r="E18" s="8">
        <v>0.20090000000002364</v>
      </c>
    </row>
    <row r="19" spans="1:5" ht="24.75" x14ac:dyDescent="0.25">
      <c r="A19" s="8" t="s">
        <v>338</v>
      </c>
      <c r="B19" s="8" t="s">
        <v>224</v>
      </c>
      <c r="C19" s="8" t="s">
        <v>284</v>
      </c>
      <c r="D19" s="8" t="s">
        <v>1235</v>
      </c>
      <c r="E19" s="8">
        <v>8.9184371121264743</v>
      </c>
    </row>
    <row r="20" spans="1:5" ht="24.75" x14ac:dyDescent="0.25">
      <c r="A20" s="8" t="s">
        <v>338</v>
      </c>
      <c r="B20" s="8" t="s">
        <v>224</v>
      </c>
      <c r="C20" s="8" t="s">
        <v>284</v>
      </c>
      <c r="D20" s="8" t="s">
        <v>1236</v>
      </c>
      <c r="E20" s="8">
        <v>5.5737999999999888</v>
      </c>
    </row>
    <row r="21" spans="1:5" ht="24.75" x14ac:dyDescent="0.25">
      <c r="A21" s="8" t="s">
        <v>338</v>
      </c>
      <c r="B21" s="8" t="s">
        <v>224</v>
      </c>
      <c r="C21" s="8" t="s">
        <v>284</v>
      </c>
      <c r="D21" s="8" t="s">
        <v>1237</v>
      </c>
      <c r="E21" s="8">
        <v>5.0432999999999923</v>
      </c>
    </row>
    <row r="22" spans="1:5" ht="24.75" x14ac:dyDescent="0.25">
      <c r="A22" s="8" t="s">
        <v>338</v>
      </c>
      <c r="B22" s="8" t="s">
        <v>224</v>
      </c>
      <c r="C22" s="8" t="s">
        <v>284</v>
      </c>
      <c r="D22" s="8" t="s">
        <v>1238</v>
      </c>
      <c r="E22" s="8">
        <v>0.8557496861753906</v>
      </c>
    </row>
    <row r="23" spans="1:5" ht="24.75" x14ac:dyDescent="0.25">
      <c r="A23" s="8" t="s">
        <v>338</v>
      </c>
      <c r="B23" s="8" t="s">
        <v>224</v>
      </c>
      <c r="C23" s="8" t="s">
        <v>284</v>
      </c>
      <c r="D23" s="8" t="s">
        <v>1239</v>
      </c>
      <c r="E23" s="8">
        <v>7.5211792142257075</v>
      </c>
    </row>
    <row r="24" spans="1:5" ht="24.75" x14ac:dyDescent="0.25">
      <c r="A24" s="8" t="s">
        <v>338</v>
      </c>
      <c r="B24" s="8" t="s">
        <v>224</v>
      </c>
      <c r="C24" s="8" t="s">
        <v>284</v>
      </c>
      <c r="D24" s="8" t="s">
        <v>1240</v>
      </c>
      <c r="E24" s="8">
        <v>9.8147500000000498</v>
      </c>
    </row>
    <row r="25" spans="1:5" ht="24.75" x14ac:dyDescent="0.25">
      <c r="A25" s="8" t="s">
        <v>338</v>
      </c>
      <c r="B25" s="8" t="s">
        <v>224</v>
      </c>
      <c r="C25" s="8" t="s">
        <v>284</v>
      </c>
      <c r="D25" s="8" t="s">
        <v>1241</v>
      </c>
      <c r="E25" s="8">
        <v>1.0244923522292839</v>
      </c>
    </row>
    <row r="26" spans="1:5" ht="24.75" x14ac:dyDescent="0.25">
      <c r="A26" s="8" t="s">
        <v>338</v>
      </c>
      <c r="B26" s="8" t="s">
        <v>224</v>
      </c>
      <c r="C26" s="8" t="s">
        <v>284</v>
      </c>
      <c r="D26" s="8" t="s">
        <v>1242</v>
      </c>
      <c r="E26" s="8">
        <v>6.3130486068606606E-2</v>
      </c>
    </row>
    <row r="27" spans="1:5" ht="24.75" x14ac:dyDescent="0.25">
      <c r="A27" s="8" t="s">
        <v>338</v>
      </c>
      <c r="B27" s="8" t="s">
        <v>224</v>
      </c>
      <c r="C27" s="8" t="s">
        <v>284</v>
      </c>
      <c r="D27" s="8" t="s">
        <v>1243</v>
      </c>
      <c r="E27" s="8">
        <v>6.3132301373888977E-2</v>
      </c>
    </row>
    <row r="28" spans="1:5" ht="24.75" x14ac:dyDescent="0.25">
      <c r="A28" s="8" t="s">
        <v>338</v>
      </c>
      <c r="B28" s="8" t="s">
        <v>224</v>
      </c>
      <c r="C28" s="8" t="s">
        <v>284</v>
      </c>
      <c r="D28" s="8" t="s">
        <v>1244</v>
      </c>
      <c r="E28" s="8">
        <v>6.3130486068606745E-2</v>
      </c>
    </row>
    <row r="29" spans="1:5" ht="24.75" x14ac:dyDescent="0.25">
      <c r="A29" s="8" t="s">
        <v>338</v>
      </c>
      <c r="B29" s="8" t="s">
        <v>224</v>
      </c>
      <c r="C29" s="8" t="s">
        <v>284</v>
      </c>
      <c r="D29" s="8" t="s">
        <v>1245</v>
      </c>
      <c r="E29" s="8">
        <v>6.3132301373889102E-2</v>
      </c>
    </row>
    <row r="30" spans="1:5" x14ac:dyDescent="0.25">
      <c r="A30" s="1" t="s">
        <v>198</v>
      </c>
      <c r="B30" s="1" t="s">
        <v>198</v>
      </c>
      <c r="C30" s="1">
        <f>SUBTOTAL(103,Elements13_2_211[Elemento])</f>
        <v>23</v>
      </c>
      <c r="D30" s="1" t="s">
        <v>198</v>
      </c>
      <c r="E30" s="1">
        <f>SUBTOTAL(109,Elements13_2_211[Totais:])</f>
        <v>91.25524919921358</v>
      </c>
    </row>
  </sheetData>
  <mergeCells count="3">
    <mergeCell ref="A1:E2"/>
    <mergeCell ref="A4:E4"/>
    <mergeCell ref="A5:E5"/>
  </mergeCells>
  <hyperlinks>
    <hyperlink ref="A1" location="'13.2.21'!A1" display="TUBO DE PVC RIGIDO SOLDAVEL,PARA AGUA FRIA, COM DIAMETRO DE 32MM.FORNECIMENTO" xr:uid="{00000000-0004-0000-4600-000000000000}"/>
    <hyperlink ref="B1" location="'13.2.21'!A1" display="TUBO DE PVC RIGIDO SOLDAVEL,PARA AGUA FRIA, COM DIAMETRO DE 32MM.FORNECIMENTO" xr:uid="{00000000-0004-0000-4600-000001000000}"/>
    <hyperlink ref="C1" location="'13.2.21'!A1" display="TUBO DE PVC RIGIDO SOLDAVEL,PARA AGUA FRIA, COM DIAMETRO DE 32MM.FORNECIMENTO" xr:uid="{00000000-0004-0000-4600-000002000000}"/>
    <hyperlink ref="D1" location="'13.2.21'!A1" display="TUBO DE PVC RIGIDO SOLDAVEL,PARA AGUA FRIA, COM DIAMETRO DE 32MM.FORNECIMENTO" xr:uid="{00000000-0004-0000-4600-000003000000}"/>
    <hyperlink ref="E1" location="'13.2.21'!A1" display="TUBO DE PVC RIGIDO SOLDAVEL,PARA AGUA FRIA, COM DIAMETRO DE 32MM.FORNECIMENTO" xr:uid="{00000000-0004-0000-4600-000004000000}"/>
    <hyperlink ref="A2" location="'13.2.21'!A1" display="TUBO DE PVC RIGIDO SOLDAVEL,PARA AGUA FRIA, COM DIAMETRO DE 32MM.FORNECIMENTO" xr:uid="{00000000-0004-0000-4600-000005000000}"/>
    <hyperlink ref="B2" location="'13.2.21'!A1" display="TUBO DE PVC RIGIDO SOLDAVEL,PARA AGUA FRIA, COM DIAMETRO DE 32MM.FORNECIMENTO" xr:uid="{00000000-0004-0000-4600-000006000000}"/>
    <hyperlink ref="C2" location="'13.2.21'!A1" display="TUBO DE PVC RIGIDO SOLDAVEL,PARA AGUA FRIA, COM DIAMETRO DE 32MM.FORNECIMENTO" xr:uid="{00000000-0004-0000-4600-000007000000}"/>
    <hyperlink ref="D2" location="'13.2.21'!A1" display="TUBO DE PVC RIGIDO SOLDAVEL,PARA AGUA FRIA, COM DIAMETRO DE 32MM.FORNECIMENTO" xr:uid="{00000000-0004-0000-4600-000008000000}"/>
    <hyperlink ref="E2" location="'13.2.21'!A1" display="TUBO DE PVC RIGIDO SOLDAVEL,PARA AGUA FRIA, COM DIAMETRO DE 32MM.FORNECIMENTO" xr:uid="{00000000-0004-0000-4600-000009000000}"/>
    <hyperlink ref="A4" location="'13.2.21'!A1" display="Tubulação" xr:uid="{00000000-0004-0000-4600-00000A000000}"/>
    <hyperlink ref="B4" location="'13.2.21'!A1" display="Tubulação" xr:uid="{00000000-0004-0000-4600-00000B000000}"/>
    <hyperlink ref="C4" location="'13.2.21'!A1" display="Tubulação" xr:uid="{00000000-0004-0000-4600-00000C000000}"/>
    <hyperlink ref="D4" location="'13.2.21'!A1" display="Tubulação" xr:uid="{00000000-0004-0000-4600-00000D000000}"/>
    <hyperlink ref="E4" location="'13.2.21'!A1" display="Tubulação" xr:uid="{00000000-0004-0000-4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E137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99</v>
      </c>
      <c r="B1" s="20" t="s">
        <v>99</v>
      </c>
      <c r="C1" s="20" t="s">
        <v>99</v>
      </c>
      <c r="D1" s="20" t="s">
        <v>99</v>
      </c>
      <c r="E1" s="20" t="s">
        <v>99</v>
      </c>
    </row>
    <row r="2" spans="1:5" x14ac:dyDescent="0.25">
      <c r="A2" s="20" t="s">
        <v>99</v>
      </c>
      <c r="B2" s="20" t="s">
        <v>99</v>
      </c>
      <c r="C2" s="20" t="s">
        <v>99</v>
      </c>
      <c r="D2" s="20" t="s">
        <v>99</v>
      </c>
      <c r="E2" s="20" t="s">
        <v>99</v>
      </c>
    </row>
    <row r="4" spans="1:5" x14ac:dyDescent="0.25">
      <c r="A4" s="15" t="s">
        <v>282</v>
      </c>
      <c r="B4" s="15" t="s">
        <v>282</v>
      </c>
      <c r="C4" s="15" t="s">
        <v>282</v>
      </c>
      <c r="D4" s="15" t="s">
        <v>282</v>
      </c>
      <c r="E4" s="15" t="s">
        <v>282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284</v>
      </c>
      <c r="D7" s="8" t="s">
        <v>1246</v>
      </c>
      <c r="E7" s="8">
        <v>0.23118884279817672</v>
      </c>
    </row>
    <row r="8" spans="1:5" ht="24.75" x14ac:dyDescent="0.25">
      <c r="A8" s="8" t="s">
        <v>338</v>
      </c>
      <c r="B8" s="8" t="s">
        <v>224</v>
      </c>
      <c r="C8" s="8" t="s">
        <v>284</v>
      </c>
      <c r="D8" s="8" t="s">
        <v>1247</v>
      </c>
      <c r="E8" s="8">
        <v>0.38459697383527752</v>
      </c>
    </row>
    <row r="9" spans="1:5" ht="24.75" x14ac:dyDescent="0.25">
      <c r="A9" s="8" t="s">
        <v>338</v>
      </c>
      <c r="B9" s="8" t="s">
        <v>224</v>
      </c>
      <c r="C9" s="8" t="s">
        <v>284</v>
      </c>
      <c r="D9" s="8" t="s">
        <v>1248</v>
      </c>
      <c r="E9" s="8">
        <v>1.5283887622019823</v>
      </c>
    </row>
    <row r="10" spans="1:5" ht="24.75" x14ac:dyDescent="0.25">
      <c r="A10" s="8" t="s">
        <v>338</v>
      </c>
      <c r="B10" s="8" t="s">
        <v>224</v>
      </c>
      <c r="C10" s="8" t="s">
        <v>284</v>
      </c>
      <c r="D10" s="8" t="s">
        <v>1249</v>
      </c>
      <c r="E10" s="8">
        <v>0.88410000000000244</v>
      </c>
    </row>
    <row r="11" spans="1:5" ht="24.75" x14ac:dyDescent="0.25">
      <c r="A11" s="8" t="s">
        <v>338</v>
      </c>
      <c r="B11" s="8" t="s">
        <v>224</v>
      </c>
      <c r="C11" s="8" t="s">
        <v>284</v>
      </c>
      <c r="D11" s="8" t="s">
        <v>1250</v>
      </c>
      <c r="E11" s="8">
        <v>0.2361324116089665</v>
      </c>
    </row>
    <row r="12" spans="1:5" ht="24.75" x14ac:dyDescent="0.25">
      <c r="A12" s="8" t="s">
        <v>338</v>
      </c>
      <c r="B12" s="8" t="s">
        <v>224</v>
      </c>
      <c r="C12" s="8" t="s">
        <v>284</v>
      </c>
      <c r="D12" s="8" t="s">
        <v>1251</v>
      </c>
      <c r="E12" s="8">
        <v>0.38459729921296348</v>
      </c>
    </row>
    <row r="13" spans="1:5" ht="24.75" x14ac:dyDescent="0.25">
      <c r="A13" s="8" t="s">
        <v>338</v>
      </c>
      <c r="B13" s="8" t="s">
        <v>224</v>
      </c>
      <c r="C13" s="8" t="s">
        <v>284</v>
      </c>
      <c r="D13" s="8" t="s">
        <v>1252</v>
      </c>
      <c r="E13" s="8">
        <v>2.3930056348509354</v>
      </c>
    </row>
    <row r="14" spans="1:5" ht="24.75" x14ac:dyDescent="0.25">
      <c r="A14" s="8" t="s">
        <v>338</v>
      </c>
      <c r="B14" s="8" t="s">
        <v>224</v>
      </c>
      <c r="C14" s="8" t="s">
        <v>284</v>
      </c>
      <c r="D14" s="8" t="s">
        <v>1253</v>
      </c>
      <c r="E14" s="8">
        <v>0.88904508855934661</v>
      </c>
    </row>
    <row r="15" spans="1:5" ht="24.75" x14ac:dyDescent="0.25">
      <c r="A15" s="8" t="s">
        <v>338</v>
      </c>
      <c r="B15" s="8" t="s">
        <v>224</v>
      </c>
      <c r="C15" s="8" t="s">
        <v>284</v>
      </c>
      <c r="D15" s="8" t="s">
        <v>1254</v>
      </c>
      <c r="E15" s="8">
        <v>0.38493374273290643</v>
      </c>
    </row>
    <row r="16" spans="1:5" ht="24.75" x14ac:dyDescent="0.25">
      <c r="A16" s="8" t="s">
        <v>338</v>
      </c>
      <c r="B16" s="8" t="s">
        <v>224</v>
      </c>
      <c r="C16" s="8" t="s">
        <v>284</v>
      </c>
      <c r="D16" s="8" t="s">
        <v>1255</v>
      </c>
      <c r="E16" s="8">
        <v>2.3440210061184752</v>
      </c>
    </row>
    <row r="17" spans="1:5" ht="24.75" x14ac:dyDescent="0.25">
      <c r="A17" s="8" t="s">
        <v>338</v>
      </c>
      <c r="B17" s="8" t="s">
        <v>224</v>
      </c>
      <c r="C17" s="8" t="s">
        <v>284</v>
      </c>
      <c r="D17" s="8" t="s">
        <v>1256</v>
      </c>
      <c r="E17" s="8">
        <v>0.88409811181102305</v>
      </c>
    </row>
    <row r="18" spans="1:5" ht="24.75" x14ac:dyDescent="0.25">
      <c r="A18" s="8" t="s">
        <v>338</v>
      </c>
      <c r="B18" s="8" t="s">
        <v>224</v>
      </c>
      <c r="C18" s="8" t="s">
        <v>284</v>
      </c>
      <c r="D18" s="8" t="s">
        <v>1257</v>
      </c>
      <c r="E18" s="8">
        <v>1.336386899909618</v>
      </c>
    </row>
    <row r="19" spans="1:5" ht="24.75" x14ac:dyDescent="0.25">
      <c r="A19" s="8" t="s">
        <v>338</v>
      </c>
      <c r="B19" s="8" t="s">
        <v>224</v>
      </c>
      <c r="C19" s="8" t="s">
        <v>284</v>
      </c>
      <c r="D19" s="8" t="s">
        <v>1258</v>
      </c>
      <c r="E19" s="8">
        <v>0.47046859158615395</v>
      </c>
    </row>
    <row r="20" spans="1:5" ht="24.75" x14ac:dyDescent="0.25">
      <c r="A20" s="8" t="s">
        <v>338</v>
      </c>
      <c r="B20" s="8" t="s">
        <v>224</v>
      </c>
      <c r="C20" s="8" t="s">
        <v>284</v>
      </c>
      <c r="D20" s="8" t="s">
        <v>1259</v>
      </c>
      <c r="E20" s="8">
        <v>0.23653592349777752</v>
      </c>
    </row>
    <row r="21" spans="1:5" ht="24.75" x14ac:dyDescent="0.25">
      <c r="A21" s="8" t="s">
        <v>338</v>
      </c>
      <c r="B21" s="8" t="s">
        <v>224</v>
      </c>
      <c r="C21" s="8" t="s">
        <v>284</v>
      </c>
      <c r="D21" s="8" t="s">
        <v>1260</v>
      </c>
      <c r="E21" s="8">
        <v>0.30812335691807946</v>
      </c>
    </row>
    <row r="22" spans="1:5" ht="24.75" x14ac:dyDescent="0.25">
      <c r="A22" s="8" t="s">
        <v>338</v>
      </c>
      <c r="B22" s="8" t="s">
        <v>224</v>
      </c>
      <c r="C22" s="8" t="s">
        <v>284</v>
      </c>
      <c r="D22" s="8" t="s">
        <v>1261</v>
      </c>
      <c r="E22" s="8">
        <v>0.89033264248026056</v>
      </c>
    </row>
    <row r="23" spans="1:5" ht="24.75" x14ac:dyDescent="0.25">
      <c r="A23" s="8" t="s">
        <v>338</v>
      </c>
      <c r="B23" s="8" t="s">
        <v>224</v>
      </c>
      <c r="C23" s="8" t="s">
        <v>284</v>
      </c>
      <c r="D23" s="8" t="s">
        <v>1262</v>
      </c>
      <c r="E23" s="8">
        <v>2.1918445028300257</v>
      </c>
    </row>
    <row r="24" spans="1:5" ht="24.75" x14ac:dyDescent="0.25">
      <c r="A24" s="8" t="s">
        <v>338</v>
      </c>
      <c r="B24" s="8" t="s">
        <v>224</v>
      </c>
      <c r="C24" s="8" t="s">
        <v>284</v>
      </c>
      <c r="D24" s="8" t="s">
        <v>1263</v>
      </c>
      <c r="E24" s="8">
        <v>6.8030833911596496</v>
      </c>
    </row>
    <row r="25" spans="1:5" ht="24.75" x14ac:dyDescent="0.25">
      <c r="A25" s="8" t="s">
        <v>338</v>
      </c>
      <c r="B25" s="8" t="s">
        <v>224</v>
      </c>
      <c r="C25" s="8" t="s">
        <v>284</v>
      </c>
      <c r="D25" s="8" t="s">
        <v>1264</v>
      </c>
      <c r="E25" s="8">
        <v>5.9951832029812291</v>
      </c>
    </row>
    <row r="26" spans="1:5" ht="24.75" x14ac:dyDescent="0.25">
      <c r="A26" s="8" t="s">
        <v>338</v>
      </c>
      <c r="B26" s="8" t="s">
        <v>224</v>
      </c>
      <c r="C26" s="8" t="s">
        <v>284</v>
      </c>
      <c r="D26" s="8" t="s">
        <v>1265</v>
      </c>
      <c r="E26" s="8">
        <v>0.47898950973685156</v>
      </c>
    </row>
    <row r="27" spans="1:5" ht="24.75" x14ac:dyDescent="0.25">
      <c r="A27" s="8" t="s">
        <v>338</v>
      </c>
      <c r="B27" s="8" t="s">
        <v>224</v>
      </c>
      <c r="C27" s="8" t="s">
        <v>284</v>
      </c>
      <c r="D27" s="8" t="s">
        <v>1266</v>
      </c>
      <c r="E27" s="8">
        <v>0.55878955149181542</v>
      </c>
    </row>
    <row r="28" spans="1:5" ht="24.75" x14ac:dyDescent="0.25">
      <c r="A28" s="8" t="s">
        <v>338</v>
      </c>
      <c r="B28" s="8" t="s">
        <v>224</v>
      </c>
      <c r="C28" s="8" t="s">
        <v>284</v>
      </c>
      <c r="D28" s="8" t="s">
        <v>1267</v>
      </c>
      <c r="E28" s="8">
        <v>0.46500000000111735</v>
      </c>
    </row>
    <row r="29" spans="1:5" ht="24.75" x14ac:dyDescent="0.25">
      <c r="A29" s="8" t="s">
        <v>338</v>
      </c>
      <c r="B29" s="8" t="s">
        <v>224</v>
      </c>
      <c r="C29" s="8" t="s">
        <v>284</v>
      </c>
      <c r="D29" s="8" t="s">
        <v>1268</v>
      </c>
      <c r="E29" s="8">
        <v>0.32677538455257521</v>
      </c>
    </row>
    <row r="30" spans="1:5" ht="24.75" x14ac:dyDescent="0.25">
      <c r="A30" s="8" t="s">
        <v>338</v>
      </c>
      <c r="B30" s="8" t="s">
        <v>224</v>
      </c>
      <c r="C30" s="8" t="s">
        <v>284</v>
      </c>
      <c r="D30" s="8" t="s">
        <v>1269</v>
      </c>
      <c r="E30" s="8">
        <v>0.88409934788951872</v>
      </c>
    </row>
    <row r="31" spans="1:5" ht="24.75" x14ac:dyDescent="0.25">
      <c r="A31" s="8" t="s">
        <v>338</v>
      </c>
      <c r="B31" s="8" t="s">
        <v>224</v>
      </c>
      <c r="C31" s="8" t="s">
        <v>284</v>
      </c>
      <c r="D31" s="8" t="s">
        <v>1270</v>
      </c>
      <c r="E31" s="8">
        <v>0.44212910325692895</v>
      </c>
    </row>
    <row r="32" spans="1:5" ht="24.75" x14ac:dyDescent="0.25">
      <c r="A32" s="8" t="s">
        <v>338</v>
      </c>
      <c r="B32" s="8" t="s">
        <v>224</v>
      </c>
      <c r="C32" s="8" t="s">
        <v>284</v>
      </c>
      <c r="D32" s="8" t="s">
        <v>1271</v>
      </c>
      <c r="E32" s="8">
        <v>0.2512744670483032</v>
      </c>
    </row>
    <row r="33" spans="1:5" ht="24.75" x14ac:dyDescent="0.25">
      <c r="A33" s="8" t="s">
        <v>338</v>
      </c>
      <c r="B33" s="8" t="s">
        <v>224</v>
      </c>
      <c r="C33" s="8" t="s">
        <v>284</v>
      </c>
      <c r="D33" s="8" t="s">
        <v>1272</v>
      </c>
      <c r="E33" s="8">
        <v>0.8890428926305749</v>
      </c>
    </row>
    <row r="34" spans="1:5" ht="24.75" x14ac:dyDescent="0.25">
      <c r="A34" s="8" t="s">
        <v>338</v>
      </c>
      <c r="B34" s="8" t="s">
        <v>224</v>
      </c>
      <c r="C34" s="8" t="s">
        <v>284</v>
      </c>
      <c r="D34" s="8" t="s">
        <v>1273</v>
      </c>
      <c r="E34" s="8">
        <v>2.2863515158588834</v>
      </c>
    </row>
    <row r="35" spans="1:5" ht="24.75" x14ac:dyDescent="0.25">
      <c r="A35" s="8" t="s">
        <v>338</v>
      </c>
      <c r="B35" s="8" t="s">
        <v>224</v>
      </c>
      <c r="C35" s="8" t="s">
        <v>284</v>
      </c>
      <c r="D35" s="8" t="s">
        <v>1274</v>
      </c>
      <c r="E35" s="8">
        <v>5.1930648419091439</v>
      </c>
    </row>
    <row r="36" spans="1:5" ht="24.75" x14ac:dyDescent="0.25">
      <c r="A36" s="8" t="s">
        <v>338</v>
      </c>
      <c r="B36" s="8" t="s">
        <v>224</v>
      </c>
      <c r="C36" s="8" t="s">
        <v>284</v>
      </c>
      <c r="D36" s="8" t="s">
        <v>1275</v>
      </c>
      <c r="E36" s="8">
        <v>0.23118884350909841</v>
      </c>
    </row>
    <row r="37" spans="1:5" ht="24.75" x14ac:dyDescent="0.25">
      <c r="A37" s="8" t="s">
        <v>338</v>
      </c>
      <c r="B37" s="8" t="s">
        <v>224</v>
      </c>
      <c r="C37" s="8" t="s">
        <v>284</v>
      </c>
      <c r="D37" s="8" t="s">
        <v>1276</v>
      </c>
      <c r="E37" s="8">
        <v>0.82166432896374753</v>
      </c>
    </row>
    <row r="38" spans="1:5" ht="24.75" x14ac:dyDescent="0.25">
      <c r="A38" s="8" t="s">
        <v>338</v>
      </c>
      <c r="B38" s="8" t="s">
        <v>224</v>
      </c>
      <c r="C38" s="8" t="s">
        <v>284</v>
      </c>
      <c r="D38" s="8" t="s">
        <v>1277</v>
      </c>
      <c r="E38" s="8">
        <v>0.69788859967446215</v>
      </c>
    </row>
    <row r="39" spans="1:5" ht="24.75" x14ac:dyDescent="0.25">
      <c r="A39" s="8" t="s">
        <v>338</v>
      </c>
      <c r="B39" s="8" t="s">
        <v>224</v>
      </c>
      <c r="C39" s="8" t="s">
        <v>284</v>
      </c>
      <c r="D39" s="8" t="s">
        <v>1278</v>
      </c>
      <c r="E39" s="8">
        <v>4.9530044443606064E-2</v>
      </c>
    </row>
    <row r="40" spans="1:5" ht="24.75" x14ac:dyDescent="0.25">
      <c r="A40" s="8" t="s">
        <v>338</v>
      </c>
      <c r="B40" s="8" t="s">
        <v>224</v>
      </c>
      <c r="C40" s="8" t="s">
        <v>284</v>
      </c>
      <c r="D40" s="8" t="s">
        <v>1279</v>
      </c>
      <c r="E40" s="8">
        <v>2.3149982160102809</v>
      </c>
    </row>
    <row r="41" spans="1:5" ht="24.75" x14ac:dyDescent="0.25">
      <c r="A41" s="8" t="s">
        <v>338</v>
      </c>
      <c r="B41" s="8" t="s">
        <v>224</v>
      </c>
      <c r="C41" s="8" t="s">
        <v>284</v>
      </c>
      <c r="D41" s="8" t="s">
        <v>1280</v>
      </c>
      <c r="E41" s="8">
        <v>0.74616432896374729</v>
      </c>
    </row>
    <row r="42" spans="1:5" ht="24.75" x14ac:dyDescent="0.25">
      <c r="A42" s="8" t="s">
        <v>338</v>
      </c>
      <c r="B42" s="8" t="s">
        <v>224</v>
      </c>
      <c r="C42" s="8" t="s">
        <v>284</v>
      </c>
      <c r="D42" s="8" t="s">
        <v>1281</v>
      </c>
      <c r="E42" s="8">
        <v>0.61847445351726127</v>
      </c>
    </row>
    <row r="43" spans="1:5" ht="24.75" x14ac:dyDescent="0.25">
      <c r="A43" s="8" t="s">
        <v>338</v>
      </c>
      <c r="B43" s="8" t="s">
        <v>224</v>
      </c>
      <c r="C43" s="8" t="s">
        <v>284</v>
      </c>
      <c r="D43" s="8" t="s">
        <v>1282</v>
      </c>
      <c r="E43" s="8">
        <v>5.491225719323313E-2</v>
      </c>
    </row>
    <row r="44" spans="1:5" ht="24.75" x14ac:dyDescent="0.25">
      <c r="A44" s="8" t="s">
        <v>338</v>
      </c>
      <c r="B44" s="8" t="s">
        <v>224</v>
      </c>
      <c r="C44" s="8" t="s">
        <v>284</v>
      </c>
      <c r="D44" s="8" t="s">
        <v>1283</v>
      </c>
      <c r="E44" s="8">
        <v>0.73293462690683331</v>
      </c>
    </row>
    <row r="45" spans="1:5" ht="24.75" x14ac:dyDescent="0.25">
      <c r="A45" s="8" t="s">
        <v>338</v>
      </c>
      <c r="B45" s="8" t="s">
        <v>224</v>
      </c>
      <c r="C45" s="8" t="s">
        <v>284</v>
      </c>
      <c r="D45" s="8" t="s">
        <v>1284</v>
      </c>
      <c r="E45" s="8">
        <v>7.0751373397054992E-2</v>
      </c>
    </row>
    <row r="46" spans="1:5" ht="24.75" x14ac:dyDescent="0.25">
      <c r="A46" s="8" t="s">
        <v>338</v>
      </c>
      <c r="B46" s="8" t="s">
        <v>224</v>
      </c>
      <c r="C46" s="8" t="s">
        <v>284</v>
      </c>
      <c r="D46" s="8" t="s">
        <v>1285</v>
      </c>
      <c r="E46" s="8">
        <v>1.1677998935501366</v>
      </c>
    </row>
    <row r="47" spans="1:5" ht="24.75" x14ac:dyDescent="0.25">
      <c r="A47" s="8" t="s">
        <v>338</v>
      </c>
      <c r="B47" s="8" t="s">
        <v>224</v>
      </c>
      <c r="C47" s="8" t="s">
        <v>284</v>
      </c>
      <c r="D47" s="8" t="s">
        <v>1286</v>
      </c>
      <c r="E47" s="8">
        <v>4.2700000000000209</v>
      </c>
    </row>
    <row r="48" spans="1:5" ht="24.75" x14ac:dyDescent="0.25">
      <c r="A48" s="8" t="s">
        <v>338</v>
      </c>
      <c r="B48" s="8" t="s">
        <v>224</v>
      </c>
      <c r="C48" s="8" t="s">
        <v>284</v>
      </c>
      <c r="D48" s="8" t="s">
        <v>1287</v>
      </c>
      <c r="E48" s="8">
        <v>5.2334707497876591</v>
      </c>
    </row>
    <row r="49" spans="1:5" ht="24.75" x14ac:dyDescent="0.25">
      <c r="A49" s="8" t="s">
        <v>338</v>
      </c>
      <c r="B49" s="8" t="s">
        <v>224</v>
      </c>
      <c r="C49" s="8" t="s">
        <v>284</v>
      </c>
      <c r="D49" s="8" t="s">
        <v>1288</v>
      </c>
      <c r="E49" s="8">
        <v>0.43070775660267124</v>
      </c>
    </row>
    <row r="50" spans="1:5" ht="24.75" x14ac:dyDescent="0.25">
      <c r="A50" s="8" t="s">
        <v>338</v>
      </c>
      <c r="B50" s="8" t="s">
        <v>224</v>
      </c>
      <c r="C50" s="8" t="s">
        <v>284</v>
      </c>
      <c r="D50" s="8" t="s">
        <v>1289</v>
      </c>
      <c r="E50" s="8">
        <v>3.7808151519016344</v>
      </c>
    </row>
    <row r="51" spans="1:5" ht="24.75" x14ac:dyDescent="0.25">
      <c r="A51" s="8" t="s">
        <v>338</v>
      </c>
      <c r="B51" s="8" t="s">
        <v>224</v>
      </c>
      <c r="C51" s="8" t="s">
        <v>284</v>
      </c>
      <c r="D51" s="8" t="s">
        <v>1290</v>
      </c>
      <c r="E51" s="8">
        <v>3.9779771415958409</v>
      </c>
    </row>
    <row r="52" spans="1:5" ht="24.75" x14ac:dyDescent="0.25">
      <c r="A52" s="8" t="s">
        <v>338</v>
      </c>
      <c r="B52" s="8" t="s">
        <v>224</v>
      </c>
      <c r="C52" s="8" t="s">
        <v>284</v>
      </c>
      <c r="D52" s="8" t="s">
        <v>1291</v>
      </c>
      <c r="E52" s="8">
        <v>1.1238489071018203</v>
      </c>
    </row>
    <row r="53" spans="1:5" ht="24.75" x14ac:dyDescent="0.25">
      <c r="A53" s="8" t="s">
        <v>338</v>
      </c>
      <c r="B53" s="8" t="s">
        <v>224</v>
      </c>
      <c r="C53" s="8" t="s">
        <v>284</v>
      </c>
      <c r="D53" s="8" t="s">
        <v>1292</v>
      </c>
      <c r="E53" s="8">
        <v>4.6862500000000002</v>
      </c>
    </row>
    <row r="54" spans="1:5" ht="24.75" x14ac:dyDescent="0.25">
      <c r="A54" s="8" t="s">
        <v>338</v>
      </c>
      <c r="B54" s="8" t="s">
        <v>224</v>
      </c>
      <c r="C54" s="8" t="s">
        <v>284</v>
      </c>
      <c r="D54" s="8" t="s">
        <v>1293</v>
      </c>
      <c r="E54" s="8">
        <v>4.7558931394719188</v>
      </c>
    </row>
    <row r="55" spans="1:5" ht="24.75" x14ac:dyDescent="0.25">
      <c r="A55" s="8" t="s">
        <v>338</v>
      </c>
      <c r="B55" s="8" t="s">
        <v>224</v>
      </c>
      <c r="C55" s="8" t="s">
        <v>284</v>
      </c>
      <c r="D55" s="8" t="s">
        <v>1294</v>
      </c>
      <c r="E55" s="8">
        <v>0.13661541945659761</v>
      </c>
    </row>
    <row r="56" spans="1:5" ht="24.75" x14ac:dyDescent="0.25">
      <c r="A56" s="8" t="s">
        <v>338</v>
      </c>
      <c r="B56" s="8" t="s">
        <v>224</v>
      </c>
      <c r="C56" s="8" t="s">
        <v>284</v>
      </c>
      <c r="D56" s="8" t="s">
        <v>1295</v>
      </c>
      <c r="E56" s="8">
        <v>2.9675299640521398</v>
      </c>
    </row>
    <row r="57" spans="1:5" ht="24.75" x14ac:dyDescent="0.25">
      <c r="A57" s="8" t="s">
        <v>338</v>
      </c>
      <c r="B57" s="8" t="s">
        <v>224</v>
      </c>
      <c r="C57" s="8" t="s">
        <v>284</v>
      </c>
      <c r="D57" s="8" t="s">
        <v>1296</v>
      </c>
      <c r="E57" s="8">
        <v>0.31389811463249584</v>
      </c>
    </row>
    <row r="58" spans="1:5" ht="24.75" x14ac:dyDescent="0.25">
      <c r="A58" s="8" t="s">
        <v>338</v>
      </c>
      <c r="B58" s="8" t="s">
        <v>224</v>
      </c>
      <c r="C58" s="8" t="s">
        <v>284</v>
      </c>
      <c r="D58" s="8" t="s">
        <v>1297</v>
      </c>
      <c r="E58" s="8">
        <v>8.7546796563918353E-2</v>
      </c>
    </row>
    <row r="59" spans="1:5" ht="24.75" x14ac:dyDescent="0.25">
      <c r="A59" s="8" t="s">
        <v>338</v>
      </c>
      <c r="B59" s="8" t="s">
        <v>224</v>
      </c>
      <c r="C59" s="8" t="s">
        <v>284</v>
      </c>
      <c r="D59" s="8" t="s">
        <v>1298</v>
      </c>
      <c r="E59" s="8">
        <v>9.4745508698420369E-2</v>
      </c>
    </row>
    <row r="60" spans="1:5" ht="24.75" x14ac:dyDescent="0.25">
      <c r="A60" s="8" t="s">
        <v>338</v>
      </c>
      <c r="B60" s="8" t="s">
        <v>224</v>
      </c>
      <c r="C60" s="8" t="s">
        <v>284</v>
      </c>
      <c r="D60" s="8" t="s">
        <v>1299</v>
      </c>
      <c r="E60" s="8">
        <v>6.4550000000013014E-2</v>
      </c>
    </row>
    <row r="61" spans="1:5" ht="24.75" x14ac:dyDescent="0.25">
      <c r="A61" s="8" t="s">
        <v>338</v>
      </c>
      <c r="B61" s="8" t="s">
        <v>224</v>
      </c>
      <c r="C61" s="8" t="s">
        <v>284</v>
      </c>
      <c r="D61" s="8" t="s">
        <v>1300</v>
      </c>
      <c r="E61" s="8">
        <v>8.4686796563969366E-2</v>
      </c>
    </row>
    <row r="62" spans="1:5" ht="24.75" x14ac:dyDescent="0.25">
      <c r="A62" s="8" t="s">
        <v>338</v>
      </c>
      <c r="B62" s="8" t="s">
        <v>224</v>
      </c>
      <c r="C62" s="8" t="s">
        <v>284</v>
      </c>
      <c r="D62" s="8" t="s">
        <v>1301</v>
      </c>
      <c r="E62" s="8">
        <v>0.18066000000002619</v>
      </c>
    </row>
    <row r="63" spans="1:5" ht="24.75" x14ac:dyDescent="0.25">
      <c r="A63" s="8" t="s">
        <v>338</v>
      </c>
      <c r="B63" s="8" t="s">
        <v>224</v>
      </c>
      <c r="C63" s="8" t="s">
        <v>284</v>
      </c>
      <c r="D63" s="8" t="s">
        <v>1302</v>
      </c>
      <c r="E63" s="8">
        <v>8.4686796564002423E-2</v>
      </c>
    </row>
    <row r="64" spans="1:5" ht="24.75" x14ac:dyDescent="0.25">
      <c r="A64" s="8" t="s">
        <v>338</v>
      </c>
      <c r="B64" s="8" t="s">
        <v>224</v>
      </c>
      <c r="C64" s="8" t="s">
        <v>284</v>
      </c>
      <c r="D64" s="8" t="s">
        <v>1303</v>
      </c>
      <c r="E64" s="8">
        <v>6.1427227688444608E-2</v>
      </c>
    </row>
    <row r="65" spans="1:5" ht="24.75" x14ac:dyDescent="0.25">
      <c r="A65" s="8" t="s">
        <v>338</v>
      </c>
      <c r="B65" s="8" t="s">
        <v>224</v>
      </c>
      <c r="C65" s="8" t="s">
        <v>284</v>
      </c>
      <c r="D65" s="8" t="s">
        <v>1304</v>
      </c>
      <c r="E65" s="8">
        <v>0.18066064478030289</v>
      </c>
    </row>
    <row r="66" spans="1:5" ht="24.75" x14ac:dyDescent="0.25">
      <c r="A66" s="8" t="s">
        <v>338</v>
      </c>
      <c r="B66" s="8" t="s">
        <v>224</v>
      </c>
      <c r="C66" s="8" t="s">
        <v>284</v>
      </c>
      <c r="D66" s="8" t="s">
        <v>1305</v>
      </c>
      <c r="E66" s="8">
        <v>8.7125508698747856E-2</v>
      </c>
    </row>
    <row r="67" spans="1:5" ht="24.75" x14ac:dyDescent="0.25">
      <c r="A67" s="8" t="s">
        <v>338</v>
      </c>
      <c r="B67" s="8" t="s">
        <v>224</v>
      </c>
      <c r="C67" s="8" t="s">
        <v>284</v>
      </c>
      <c r="D67" s="8" t="s">
        <v>1306</v>
      </c>
      <c r="E67" s="8">
        <v>2.0673542703208376</v>
      </c>
    </row>
    <row r="68" spans="1:5" ht="24.75" x14ac:dyDescent="0.25">
      <c r="A68" s="8" t="s">
        <v>338</v>
      </c>
      <c r="B68" s="8" t="s">
        <v>224</v>
      </c>
      <c r="C68" s="8" t="s">
        <v>284</v>
      </c>
      <c r="D68" s="8" t="s">
        <v>1307</v>
      </c>
      <c r="E68" s="8">
        <v>2.3298748501899249E-2</v>
      </c>
    </row>
    <row r="69" spans="1:5" ht="24.75" x14ac:dyDescent="0.25">
      <c r="A69" s="8" t="s">
        <v>338</v>
      </c>
      <c r="B69" s="8" t="s">
        <v>224</v>
      </c>
      <c r="C69" s="8" t="s">
        <v>284</v>
      </c>
      <c r="D69" s="8" t="s">
        <v>1308</v>
      </c>
      <c r="E69" s="8">
        <v>6.7952013778016018E-2</v>
      </c>
    </row>
    <row r="70" spans="1:5" ht="24.75" x14ac:dyDescent="0.25">
      <c r="A70" s="8" t="s">
        <v>338</v>
      </c>
      <c r="B70" s="8" t="s">
        <v>224</v>
      </c>
      <c r="C70" s="8" t="s">
        <v>284</v>
      </c>
      <c r="D70" s="8" t="s">
        <v>1309</v>
      </c>
      <c r="E70" s="8">
        <v>7.5684174752898153E-2</v>
      </c>
    </row>
    <row r="71" spans="1:5" ht="24.75" x14ac:dyDescent="0.25">
      <c r="A71" s="8" t="s">
        <v>338</v>
      </c>
      <c r="B71" s="8" t="s">
        <v>224</v>
      </c>
      <c r="C71" s="8" t="s">
        <v>284</v>
      </c>
      <c r="D71" s="8" t="s">
        <v>1310</v>
      </c>
      <c r="E71" s="8">
        <v>9.0759999999682178E-2</v>
      </c>
    </row>
    <row r="72" spans="1:5" ht="24.75" x14ac:dyDescent="0.25">
      <c r="A72" s="8" t="s">
        <v>338</v>
      </c>
      <c r="B72" s="8" t="s">
        <v>224</v>
      </c>
      <c r="C72" s="8" t="s">
        <v>284</v>
      </c>
      <c r="D72" s="8" t="s">
        <v>1311</v>
      </c>
      <c r="E72" s="8">
        <v>8.2857189799592834E-2</v>
      </c>
    </row>
    <row r="73" spans="1:5" ht="24.75" x14ac:dyDescent="0.25">
      <c r="A73" s="8" t="s">
        <v>338</v>
      </c>
      <c r="B73" s="8" t="s">
        <v>224</v>
      </c>
      <c r="C73" s="8" t="s">
        <v>284</v>
      </c>
      <c r="D73" s="8" t="s">
        <v>1312</v>
      </c>
      <c r="E73" s="8">
        <v>6.455000000000187E-2</v>
      </c>
    </row>
    <row r="74" spans="1:5" ht="24.75" x14ac:dyDescent="0.25">
      <c r="A74" s="8" t="s">
        <v>338</v>
      </c>
      <c r="B74" s="8" t="s">
        <v>224</v>
      </c>
      <c r="C74" s="8" t="s">
        <v>284</v>
      </c>
      <c r="D74" s="8" t="s">
        <v>1313</v>
      </c>
      <c r="E74" s="8">
        <v>8.7901303775649184E-2</v>
      </c>
    </row>
    <row r="75" spans="1:5" ht="24.75" x14ac:dyDescent="0.25">
      <c r="A75" s="8" t="s">
        <v>338</v>
      </c>
      <c r="B75" s="8" t="s">
        <v>224</v>
      </c>
      <c r="C75" s="8" t="s">
        <v>284</v>
      </c>
      <c r="D75" s="8" t="s">
        <v>1314</v>
      </c>
      <c r="E75" s="8">
        <v>8.7899999999734454E-2</v>
      </c>
    </row>
    <row r="76" spans="1:5" ht="24.75" x14ac:dyDescent="0.25">
      <c r="A76" s="8" t="s">
        <v>338</v>
      </c>
      <c r="B76" s="8" t="s">
        <v>224</v>
      </c>
      <c r="C76" s="8" t="s">
        <v>284</v>
      </c>
      <c r="D76" s="8" t="s">
        <v>1315</v>
      </c>
      <c r="E76" s="8">
        <v>0.18065999999998944</v>
      </c>
    </row>
    <row r="77" spans="1:5" ht="24.75" x14ac:dyDescent="0.25">
      <c r="A77" s="8" t="s">
        <v>338</v>
      </c>
      <c r="B77" s="8" t="s">
        <v>224</v>
      </c>
      <c r="C77" s="8" t="s">
        <v>284</v>
      </c>
      <c r="D77" s="8" t="s">
        <v>1316</v>
      </c>
      <c r="E77" s="8">
        <v>2.3422857579837031E-2</v>
      </c>
    </row>
    <row r="78" spans="1:5" ht="24.75" x14ac:dyDescent="0.25">
      <c r="A78" s="8" t="s">
        <v>338</v>
      </c>
      <c r="B78" s="8" t="s">
        <v>224</v>
      </c>
      <c r="C78" s="8" t="s">
        <v>284</v>
      </c>
      <c r="D78" s="8" t="s">
        <v>1317</v>
      </c>
      <c r="E78" s="8">
        <v>6.3749999999999987E-2</v>
      </c>
    </row>
    <row r="79" spans="1:5" ht="24.75" x14ac:dyDescent="0.25">
      <c r="A79" s="8" t="s">
        <v>338</v>
      </c>
      <c r="B79" s="8" t="s">
        <v>224</v>
      </c>
      <c r="C79" s="8" t="s">
        <v>284</v>
      </c>
      <c r="D79" s="8" t="s">
        <v>1318</v>
      </c>
      <c r="E79" s="8">
        <v>6.3300000000000217E-2</v>
      </c>
    </row>
    <row r="80" spans="1:5" ht="24.75" x14ac:dyDescent="0.25">
      <c r="A80" s="8" t="s">
        <v>338</v>
      </c>
      <c r="B80" s="8" t="s">
        <v>224</v>
      </c>
      <c r="C80" s="8" t="s">
        <v>284</v>
      </c>
      <c r="D80" s="8" t="s">
        <v>1319</v>
      </c>
      <c r="E80" s="8">
        <v>6.3299999999999745E-2</v>
      </c>
    </row>
    <row r="81" spans="1:5" ht="24.75" x14ac:dyDescent="0.25">
      <c r="A81" s="8" t="s">
        <v>338</v>
      </c>
      <c r="B81" s="8" t="s">
        <v>224</v>
      </c>
      <c r="C81" s="8" t="s">
        <v>284</v>
      </c>
      <c r="D81" s="8" t="s">
        <v>1320</v>
      </c>
      <c r="E81" s="8">
        <v>6.330009249222579E-2</v>
      </c>
    </row>
    <row r="82" spans="1:5" ht="24.75" x14ac:dyDescent="0.25">
      <c r="A82" s="8" t="s">
        <v>338</v>
      </c>
      <c r="B82" s="8" t="s">
        <v>224</v>
      </c>
      <c r="C82" s="8" t="s">
        <v>284</v>
      </c>
      <c r="D82" s="8" t="s">
        <v>1321</v>
      </c>
      <c r="E82" s="8">
        <v>6.329999999999919E-2</v>
      </c>
    </row>
    <row r="83" spans="1:5" ht="24.75" x14ac:dyDescent="0.25">
      <c r="A83" s="8" t="s">
        <v>338</v>
      </c>
      <c r="B83" s="8" t="s">
        <v>224</v>
      </c>
      <c r="C83" s="8" t="s">
        <v>284</v>
      </c>
      <c r="D83" s="8" t="s">
        <v>1322</v>
      </c>
      <c r="E83" s="8">
        <v>6.3300000021871888E-2</v>
      </c>
    </row>
    <row r="84" spans="1:5" ht="24.75" x14ac:dyDescent="0.25">
      <c r="A84" s="8" t="s">
        <v>338</v>
      </c>
      <c r="B84" s="8" t="s">
        <v>224</v>
      </c>
      <c r="C84" s="8" t="s">
        <v>284</v>
      </c>
      <c r="D84" s="8" t="s">
        <v>1323</v>
      </c>
      <c r="E84" s="8">
        <v>6.3325535612462319E-2</v>
      </c>
    </row>
    <row r="85" spans="1:5" ht="24.75" x14ac:dyDescent="0.25">
      <c r="A85" s="8" t="s">
        <v>338</v>
      </c>
      <c r="B85" s="8" t="s">
        <v>224</v>
      </c>
      <c r="C85" s="8" t="s">
        <v>284</v>
      </c>
      <c r="D85" s="8" t="s">
        <v>1324</v>
      </c>
      <c r="E85" s="8">
        <v>8.5838712134662667E-2</v>
      </c>
    </row>
    <row r="86" spans="1:5" ht="24.75" x14ac:dyDescent="0.25">
      <c r="A86" s="8" t="s">
        <v>338</v>
      </c>
      <c r="B86" s="8" t="s">
        <v>224</v>
      </c>
      <c r="C86" s="8" t="s">
        <v>284</v>
      </c>
      <c r="D86" s="8" t="s">
        <v>1325</v>
      </c>
      <c r="E86" s="8">
        <v>7.2495508698969938E-2</v>
      </c>
    </row>
    <row r="87" spans="1:5" ht="24.75" x14ac:dyDescent="0.25">
      <c r="A87" s="8" t="s">
        <v>338</v>
      </c>
      <c r="B87" s="8" t="s">
        <v>224</v>
      </c>
      <c r="C87" s="8" t="s">
        <v>284</v>
      </c>
      <c r="D87" s="8" t="s">
        <v>1326</v>
      </c>
      <c r="E87" s="8">
        <v>0.25417553836175721</v>
      </c>
    </row>
    <row r="88" spans="1:5" ht="24.75" x14ac:dyDescent="0.25">
      <c r="A88" s="8" t="s">
        <v>338</v>
      </c>
      <c r="B88" s="8" t="s">
        <v>224</v>
      </c>
      <c r="C88" s="8" t="s">
        <v>284</v>
      </c>
      <c r="D88" s="8" t="s">
        <v>1327</v>
      </c>
      <c r="E88" s="8">
        <v>3.5606026663410502</v>
      </c>
    </row>
    <row r="89" spans="1:5" ht="24.75" x14ac:dyDescent="0.25">
      <c r="A89" s="8" t="s">
        <v>338</v>
      </c>
      <c r="B89" s="8" t="s">
        <v>224</v>
      </c>
      <c r="C89" s="8" t="s">
        <v>284</v>
      </c>
      <c r="D89" s="8" t="s">
        <v>1328</v>
      </c>
      <c r="E89" s="8">
        <v>8.2857905240207128E-2</v>
      </c>
    </row>
    <row r="90" spans="1:5" ht="24.75" x14ac:dyDescent="0.25">
      <c r="A90" s="8" t="s">
        <v>338</v>
      </c>
      <c r="B90" s="8" t="s">
        <v>224</v>
      </c>
      <c r="C90" s="8" t="s">
        <v>284</v>
      </c>
      <c r="D90" s="8" t="s">
        <v>1329</v>
      </c>
      <c r="E90" s="8">
        <v>7.5662813807690646E-2</v>
      </c>
    </row>
    <row r="91" spans="1:5" ht="24.75" x14ac:dyDescent="0.25">
      <c r="A91" s="8" t="s">
        <v>338</v>
      </c>
      <c r="B91" s="8" t="s">
        <v>224</v>
      </c>
      <c r="C91" s="8" t="s">
        <v>284</v>
      </c>
      <c r="D91" s="8" t="s">
        <v>1330</v>
      </c>
      <c r="E91" s="8">
        <v>0.18066331237687311</v>
      </c>
    </row>
    <row r="92" spans="1:5" ht="24.75" x14ac:dyDescent="0.25">
      <c r="A92" s="8" t="s">
        <v>338</v>
      </c>
      <c r="B92" s="8" t="s">
        <v>224</v>
      </c>
      <c r="C92" s="8" t="s">
        <v>284</v>
      </c>
      <c r="D92" s="8" t="s">
        <v>1331</v>
      </c>
      <c r="E92" s="8">
        <v>6.5624999999999975E-2</v>
      </c>
    </row>
    <row r="93" spans="1:5" ht="24.75" x14ac:dyDescent="0.25">
      <c r="A93" s="8" t="s">
        <v>338</v>
      </c>
      <c r="B93" s="8" t="s">
        <v>224</v>
      </c>
      <c r="C93" s="8" t="s">
        <v>284</v>
      </c>
      <c r="D93" s="8" t="s">
        <v>1332</v>
      </c>
      <c r="E93" s="8">
        <v>7.3751251498100884E-2</v>
      </c>
    </row>
    <row r="94" spans="1:5" ht="24.75" x14ac:dyDescent="0.25">
      <c r="A94" s="8" t="s">
        <v>338</v>
      </c>
      <c r="B94" s="8" t="s">
        <v>224</v>
      </c>
      <c r="C94" s="8" t="s">
        <v>284</v>
      </c>
      <c r="D94" s="8" t="s">
        <v>1333</v>
      </c>
      <c r="E94" s="8">
        <v>7.36281428763194E-2</v>
      </c>
    </row>
    <row r="95" spans="1:5" ht="24.75" x14ac:dyDescent="0.25">
      <c r="A95" s="8" t="s">
        <v>338</v>
      </c>
      <c r="B95" s="8" t="s">
        <v>224</v>
      </c>
      <c r="C95" s="8" t="s">
        <v>284</v>
      </c>
      <c r="D95" s="8" t="s">
        <v>1334</v>
      </c>
      <c r="E95" s="8">
        <v>8.7546796563935103E-2</v>
      </c>
    </row>
    <row r="96" spans="1:5" ht="24.75" x14ac:dyDescent="0.25">
      <c r="A96" s="8" t="s">
        <v>338</v>
      </c>
      <c r="B96" s="8" t="s">
        <v>224</v>
      </c>
      <c r="C96" s="8" t="s">
        <v>284</v>
      </c>
      <c r="D96" s="8" t="s">
        <v>1335</v>
      </c>
      <c r="E96" s="8">
        <v>9.4745508698430486E-2</v>
      </c>
    </row>
    <row r="97" spans="1:5" ht="24.75" x14ac:dyDescent="0.25">
      <c r="A97" s="8" t="s">
        <v>338</v>
      </c>
      <c r="B97" s="8" t="s">
        <v>224</v>
      </c>
      <c r="C97" s="8" t="s">
        <v>284</v>
      </c>
      <c r="D97" s="8" t="s">
        <v>1336</v>
      </c>
      <c r="E97" s="8">
        <v>6.4550000000013014E-2</v>
      </c>
    </row>
    <row r="98" spans="1:5" ht="24.75" x14ac:dyDescent="0.25">
      <c r="A98" s="8" t="s">
        <v>338</v>
      </c>
      <c r="B98" s="8" t="s">
        <v>224</v>
      </c>
      <c r="C98" s="8" t="s">
        <v>284</v>
      </c>
      <c r="D98" s="8" t="s">
        <v>1337</v>
      </c>
      <c r="E98" s="8">
        <v>8.468679656398978E-2</v>
      </c>
    </row>
    <row r="99" spans="1:5" ht="24.75" x14ac:dyDescent="0.25">
      <c r="A99" s="8" t="s">
        <v>338</v>
      </c>
      <c r="B99" s="8" t="s">
        <v>224</v>
      </c>
      <c r="C99" s="8" t="s">
        <v>284</v>
      </c>
      <c r="D99" s="8" t="s">
        <v>1338</v>
      </c>
      <c r="E99" s="8">
        <v>0.18066000000002652</v>
      </c>
    </row>
    <row r="100" spans="1:5" ht="24.75" x14ac:dyDescent="0.25">
      <c r="A100" s="8" t="s">
        <v>338</v>
      </c>
      <c r="B100" s="8" t="s">
        <v>224</v>
      </c>
      <c r="C100" s="8" t="s">
        <v>284</v>
      </c>
      <c r="D100" s="8" t="s">
        <v>1339</v>
      </c>
      <c r="E100" s="8">
        <v>8.4686796564002201E-2</v>
      </c>
    </row>
    <row r="101" spans="1:5" ht="24.75" x14ac:dyDescent="0.25">
      <c r="A101" s="8" t="s">
        <v>338</v>
      </c>
      <c r="B101" s="8" t="s">
        <v>224</v>
      </c>
      <c r="C101" s="8" t="s">
        <v>284</v>
      </c>
      <c r="D101" s="8" t="s">
        <v>1340</v>
      </c>
      <c r="E101" s="8">
        <v>6.1425000000002755E-2</v>
      </c>
    </row>
    <row r="102" spans="1:5" ht="24.75" x14ac:dyDescent="0.25">
      <c r="A102" s="8" t="s">
        <v>338</v>
      </c>
      <c r="B102" s="8" t="s">
        <v>224</v>
      </c>
      <c r="C102" s="8" t="s">
        <v>284</v>
      </c>
      <c r="D102" s="8" t="s">
        <v>1341</v>
      </c>
      <c r="E102" s="8">
        <v>0.18066064478030097</v>
      </c>
    </row>
    <row r="103" spans="1:5" ht="24.75" x14ac:dyDescent="0.25">
      <c r="A103" s="8" t="s">
        <v>338</v>
      </c>
      <c r="B103" s="8" t="s">
        <v>224</v>
      </c>
      <c r="C103" s="8" t="s">
        <v>284</v>
      </c>
      <c r="D103" s="8" t="s">
        <v>1342</v>
      </c>
      <c r="E103" s="8">
        <v>8.7125508698747856E-2</v>
      </c>
    </row>
    <row r="104" spans="1:5" ht="24.75" x14ac:dyDescent="0.25">
      <c r="A104" s="8" t="s">
        <v>338</v>
      </c>
      <c r="B104" s="8" t="s">
        <v>224</v>
      </c>
      <c r="C104" s="8" t="s">
        <v>284</v>
      </c>
      <c r="D104" s="8" t="s">
        <v>1343</v>
      </c>
      <c r="E104" s="8">
        <v>2.1461042703208371</v>
      </c>
    </row>
    <row r="105" spans="1:5" ht="24.75" x14ac:dyDescent="0.25">
      <c r="A105" s="8" t="s">
        <v>338</v>
      </c>
      <c r="B105" s="8" t="s">
        <v>224</v>
      </c>
      <c r="C105" s="8" t="s">
        <v>284</v>
      </c>
      <c r="D105" s="8" t="s">
        <v>1344</v>
      </c>
      <c r="E105" s="8">
        <v>2.3298748501899114E-2</v>
      </c>
    </row>
    <row r="106" spans="1:5" ht="24.75" x14ac:dyDescent="0.25">
      <c r="A106" s="8" t="s">
        <v>338</v>
      </c>
      <c r="B106" s="8" t="s">
        <v>224</v>
      </c>
      <c r="C106" s="8" t="s">
        <v>284</v>
      </c>
      <c r="D106" s="8" t="s">
        <v>1345</v>
      </c>
      <c r="E106" s="8">
        <v>6.794999999999779E-2</v>
      </c>
    </row>
    <row r="107" spans="1:5" ht="24.75" x14ac:dyDescent="0.25">
      <c r="A107" s="8" t="s">
        <v>338</v>
      </c>
      <c r="B107" s="8" t="s">
        <v>224</v>
      </c>
      <c r="C107" s="8" t="s">
        <v>284</v>
      </c>
      <c r="D107" s="8" t="s">
        <v>1346</v>
      </c>
      <c r="E107" s="8">
        <v>7.5684174752898153E-2</v>
      </c>
    </row>
    <row r="108" spans="1:5" ht="24.75" x14ac:dyDescent="0.25">
      <c r="A108" s="8" t="s">
        <v>338</v>
      </c>
      <c r="B108" s="8" t="s">
        <v>224</v>
      </c>
      <c r="C108" s="8" t="s">
        <v>284</v>
      </c>
      <c r="D108" s="8" t="s">
        <v>1347</v>
      </c>
      <c r="E108" s="8">
        <v>9.0759999999682178E-2</v>
      </c>
    </row>
    <row r="109" spans="1:5" ht="24.75" x14ac:dyDescent="0.25">
      <c r="A109" s="8" t="s">
        <v>338</v>
      </c>
      <c r="B109" s="8" t="s">
        <v>224</v>
      </c>
      <c r="C109" s="8" t="s">
        <v>284</v>
      </c>
      <c r="D109" s="8" t="s">
        <v>1348</v>
      </c>
      <c r="E109" s="8">
        <v>8.2857189799592834E-2</v>
      </c>
    </row>
    <row r="110" spans="1:5" ht="24.75" x14ac:dyDescent="0.25">
      <c r="A110" s="8" t="s">
        <v>338</v>
      </c>
      <c r="B110" s="8" t="s">
        <v>224</v>
      </c>
      <c r="C110" s="8" t="s">
        <v>284</v>
      </c>
      <c r="D110" s="8" t="s">
        <v>1349</v>
      </c>
      <c r="E110" s="8">
        <v>6.455000000000187E-2</v>
      </c>
    </row>
    <row r="111" spans="1:5" ht="24.75" x14ac:dyDescent="0.25">
      <c r="A111" s="8" t="s">
        <v>338</v>
      </c>
      <c r="B111" s="8" t="s">
        <v>224</v>
      </c>
      <c r="C111" s="8" t="s">
        <v>284</v>
      </c>
      <c r="D111" s="8" t="s">
        <v>1350</v>
      </c>
      <c r="E111" s="8">
        <v>8.7901303775649184E-2</v>
      </c>
    </row>
    <row r="112" spans="1:5" ht="24.75" x14ac:dyDescent="0.25">
      <c r="A112" s="8" t="s">
        <v>338</v>
      </c>
      <c r="B112" s="8" t="s">
        <v>224</v>
      </c>
      <c r="C112" s="8" t="s">
        <v>284</v>
      </c>
      <c r="D112" s="8" t="s">
        <v>1351</v>
      </c>
      <c r="E112" s="8">
        <v>8.7899999999734454E-2</v>
      </c>
    </row>
    <row r="113" spans="1:5" ht="24.75" x14ac:dyDescent="0.25">
      <c r="A113" s="8" t="s">
        <v>338</v>
      </c>
      <c r="B113" s="8" t="s">
        <v>224</v>
      </c>
      <c r="C113" s="8" t="s">
        <v>284</v>
      </c>
      <c r="D113" s="8" t="s">
        <v>1352</v>
      </c>
      <c r="E113" s="8">
        <v>0.18065999999998986</v>
      </c>
    </row>
    <row r="114" spans="1:5" ht="24.75" x14ac:dyDescent="0.25">
      <c r="A114" s="8" t="s">
        <v>338</v>
      </c>
      <c r="B114" s="8" t="s">
        <v>224</v>
      </c>
      <c r="C114" s="8" t="s">
        <v>284</v>
      </c>
      <c r="D114" s="8" t="s">
        <v>1353</v>
      </c>
      <c r="E114" s="8">
        <v>2.3422857579836896E-2</v>
      </c>
    </row>
    <row r="115" spans="1:5" ht="24.75" x14ac:dyDescent="0.25">
      <c r="A115" s="8" t="s">
        <v>338</v>
      </c>
      <c r="B115" s="8" t="s">
        <v>224</v>
      </c>
      <c r="C115" s="8" t="s">
        <v>284</v>
      </c>
      <c r="D115" s="8" t="s">
        <v>1354</v>
      </c>
      <c r="E115" s="8">
        <v>6.3749999999999987E-2</v>
      </c>
    </row>
    <row r="116" spans="1:5" ht="24.75" x14ac:dyDescent="0.25">
      <c r="A116" s="8" t="s">
        <v>338</v>
      </c>
      <c r="B116" s="8" t="s">
        <v>224</v>
      </c>
      <c r="C116" s="8" t="s">
        <v>284</v>
      </c>
      <c r="D116" s="8" t="s">
        <v>1355</v>
      </c>
      <c r="E116" s="8">
        <v>6.3300000000000217E-2</v>
      </c>
    </row>
    <row r="117" spans="1:5" ht="24.75" x14ac:dyDescent="0.25">
      <c r="A117" s="8" t="s">
        <v>338</v>
      </c>
      <c r="B117" s="8" t="s">
        <v>224</v>
      </c>
      <c r="C117" s="8" t="s">
        <v>284</v>
      </c>
      <c r="D117" s="8" t="s">
        <v>1356</v>
      </c>
      <c r="E117" s="8">
        <v>6.3299999999999745E-2</v>
      </c>
    </row>
    <row r="118" spans="1:5" ht="24.75" x14ac:dyDescent="0.25">
      <c r="A118" s="8" t="s">
        <v>338</v>
      </c>
      <c r="B118" s="8" t="s">
        <v>224</v>
      </c>
      <c r="C118" s="8" t="s">
        <v>284</v>
      </c>
      <c r="D118" s="8" t="s">
        <v>1357</v>
      </c>
      <c r="E118" s="8">
        <v>6.330009249222579E-2</v>
      </c>
    </row>
    <row r="119" spans="1:5" ht="24.75" x14ac:dyDescent="0.25">
      <c r="A119" s="8" t="s">
        <v>338</v>
      </c>
      <c r="B119" s="8" t="s">
        <v>224</v>
      </c>
      <c r="C119" s="8" t="s">
        <v>284</v>
      </c>
      <c r="D119" s="8" t="s">
        <v>1358</v>
      </c>
      <c r="E119" s="8">
        <v>6.329999999999919E-2</v>
      </c>
    </row>
    <row r="120" spans="1:5" ht="24.75" x14ac:dyDescent="0.25">
      <c r="A120" s="8" t="s">
        <v>338</v>
      </c>
      <c r="B120" s="8" t="s">
        <v>224</v>
      </c>
      <c r="C120" s="8" t="s">
        <v>284</v>
      </c>
      <c r="D120" s="8" t="s">
        <v>1359</v>
      </c>
      <c r="E120" s="8">
        <v>6.3300000000003812E-2</v>
      </c>
    </row>
    <row r="121" spans="1:5" ht="24.75" x14ac:dyDescent="0.25">
      <c r="A121" s="8" t="s">
        <v>338</v>
      </c>
      <c r="B121" s="8" t="s">
        <v>224</v>
      </c>
      <c r="C121" s="8" t="s">
        <v>284</v>
      </c>
      <c r="D121" s="8" t="s">
        <v>1360</v>
      </c>
      <c r="E121" s="8">
        <v>6.3325535612462319E-2</v>
      </c>
    </row>
    <row r="122" spans="1:5" ht="24.75" x14ac:dyDescent="0.25">
      <c r="A122" s="8" t="s">
        <v>338</v>
      </c>
      <c r="B122" s="8" t="s">
        <v>224</v>
      </c>
      <c r="C122" s="8" t="s">
        <v>284</v>
      </c>
      <c r="D122" s="8" t="s">
        <v>1361</v>
      </c>
      <c r="E122" s="8">
        <v>8.5838712134662667E-2</v>
      </c>
    </row>
    <row r="123" spans="1:5" ht="24.75" x14ac:dyDescent="0.25">
      <c r="A123" s="8" t="s">
        <v>338</v>
      </c>
      <c r="B123" s="8" t="s">
        <v>224</v>
      </c>
      <c r="C123" s="8" t="s">
        <v>284</v>
      </c>
      <c r="D123" s="8" t="s">
        <v>1362</v>
      </c>
      <c r="E123" s="8">
        <v>7.2495508698977112E-2</v>
      </c>
    </row>
    <row r="124" spans="1:5" ht="24.75" x14ac:dyDescent="0.25">
      <c r="A124" s="8" t="s">
        <v>338</v>
      </c>
      <c r="B124" s="8" t="s">
        <v>224</v>
      </c>
      <c r="C124" s="8" t="s">
        <v>284</v>
      </c>
      <c r="D124" s="8" t="s">
        <v>1363</v>
      </c>
      <c r="E124" s="8">
        <v>0.25417553836175721</v>
      </c>
    </row>
    <row r="125" spans="1:5" ht="24.75" x14ac:dyDescent="0.25">
      <c r="A125" s="8" t="s">
        <v>338</v>
      </c>
      <c r="B125" s="8" t="s">
        <v>224</v>
      </c>
      <c r="C125" s="8" t="s">
        <v>284</v>
      </c>
      <c r="D125" s="8" t="s">
        <v>1364</v>
      </c>
      <c r="E125" s="8">
        <v>0.53581515190164541</v>
      </c>
    </row>
    <row r="126" spans="1:5" ht="24.75" x14ac:dyDescent="0.25">
      <c r="A126" s="8" t="s">
        <v>338</v>
      </c>
      <c r="B126" s="8" t="s">
        <v>224</v>
      </c>
      <c r="C126" s="8" t="s">
        <v>284</v>
      </c>
      <c r="D126" s="8" t="s">
        <v>1365</v>
      </c>
      <c r="E126" s="8">
        <v>8.2857905240207128E-2</v>
      </c>
    </row>
    <row r="127" spans="1:5" ht="24.75" x14ac:dyDescent="0.25">
      <c r="A127" s="8" t="s">
        <v>338</v>
      </c>
      <c r="B127" s="8" t="s">
        <v>224</v>
      </c>
      <c r="C127" s="8" t="s">
        <v>284</v>
      </c>
      <c r="D127" s="8" t="s">
        <v>1366</v>
      </c>
      <c r="E127" s="8">
        <v>7.5662813807690646E-2</v>
      </c>
    </row>
    <row r="128" spans="1:5" ht="24.75" x14ac:dyDescent="0.25">
      <c r="A128" s="8" t="s">
        <v>338</v>
      </c>
      <c r="B128" s="8" t="s">
        <v>224</v>
      </c>
      <c r="C128" s="8" t="s">
        <v>284</v>
      </c>
      <c r="D128" s="8" t="s">
        <v>1367</v>
      </c>
      <c r="E128" s="8">
        <v>0.1806633123768728</v>
      </c>
    </row>
    <row r="129" spans="1:5" ht="24.75" x14ac:dyDescent="0.25">
      <c r="A129" s="8" t="s">
        <v>338</v>
      </c>
      <c r="B129" s="8" t="s">
        <v>224</v>
      </c>
      <c r="C129" s="8" t="s">
        <v>284</v>
      </c>
      <c r="D129" s="8" t="s">
        <v>1368</v>
      </c>
      <c r="E129" s="8">
        <v>6.5624999999999975E-2</v>
      </c>
    </row>
    <row r="130" spans="1:5" ht="24.75" x14ac:dyDescent="0.25">
      <c r="A130" s="8" t="s">
        <v>338</v>
      </c>
      <c r="B130" s="8" t="s">
        <v>224</v>
      </c>
      <c r="C130" s="8" t="s">
        <v>284</v>
      </c>
      <c r="D130" s="8" t="s">
        <v>1369</v>
      </c>
      <c r="E130" s="8">
        <v>7.3751251498100884E-2</v>
      </c>
    </row>
    <row r="131" spans="1:5" ht="24.75" x14ac:dyDescent="0.25">
      <c r="A131" s="8" t="s">
        <v>338</v>
      </c>
      <c r="B131" s="8" t="s">
        <v>224</v>
      </c>
      <c r="C131" s="8" t="s">
        <v>284</v>
      </c>
      <c r="D131" s="8" t="s">
        <v>1370</v>
      </c>
      <c r="E131" s="8">
        <v>7.36281428763194E-2</v>
      </c>
    </row>
    <row r="132" spans="1:5" ht="24.75" x14ac:dyDescent="0.25">
      <c r="A132" s="8" t="s">
        <v>338</v>
      </c>
      <c r="B132" s="8" t="s">
        <v>224</v>
      </c>
      <c r="C132" s="8" t="s">
        <v>284</v>
      </c>
      <c r="D132" s="8" t="s">
        <v>1371</v>
      </c>
      <c r="E132" s="8">
        <v>0.27499999999998082</v>
      </c>
    </row>
    <row r="133" spans="1:5" ht="24.75" x14ac:dyDescent="0.25">
      <c r="A133" s="8" t="s">
        <v>338</v>
      </c>
      <c r="B133" s="8" t="s">
        <v>224</v>
      </c>
      <c r="C133" s="8" t="s">
        <v>284</v>
      </c>
      <c r="D133" s="8" t="s">
        <v>1372</v>
      </c>
      <c r="E133" s="8">
        <v>0.31831291917292764</v>
      </c>
    </row>
    <row r="134" spans="1:5" ht="24.75" x14ac:dyDescent="0.25">
      <c r="A134" s="8" t="s">
        <v>338</v>
      </c>
      <c r="B134" s="8" t="s">
        <v>224</v>
      </c>
      <c r="C134" s="8" t="s">
        <v>284</v>
      </c>
      <c r="D134" s="8" t="s">
        <v>1373</v>
      </c>
      <c r="E134" s="8">
        <v>0.29749999999999732</v>
      </c>
    </row>
    <row r="135" spans="1:5" ht="24.75" x14ac:dyDescent="0.25">
      <c r="A135" s="8" t="s">
        <v>338</v>
      </c>
      <c r="B135" s="8" t="s">
        <v>224</v>
      </c>
      <c r="C135" s="8" t="s">
        <v>284</v>
      </c>
      <c r="D135" s="8" t="s">
        <v>1374</v>
      </c>
      <c r="E135" s="8">
        <v>0.3208129191729262</v>
      </c>
    </row>
    <row r="136" spans="1:5" ht="24.75" x14ac:dyDescent="0.25">
      <c r="A136" s="8" t="s">
        <v>338</v>
      </c>
      <c r="B136" s="8" t="s">
        <v>224</v>
      </c>
      <c r="C136" s="8" t="s">
        <v>284</v>
      </c>
      <c r="D136" s="8" t="s">
        <v>1375</v>
      </c>
      <c r="E136" s="8">
        <v>0.29801661673894625</v>
      </c>
    </row>
    <row r="137" spans="1:5" x14ac:dyDescent="0.25">
      <c r="A137" s="1" t="s">
        <v>198</v>
      </c>
      <c r="B137" s="1" t="s">
        <v>198</v>
      </c>
      <c r="C137" s="1">
        <f>SUBTOTAL(103,Elements13_2_221[Elemento])</f>
        <v>130</v>
      </c>
      <c r="D137" s="1" t="s">
        <v>198</v>
      </c>
      <c r="E137" s="1">
        <f>SUBTOTAL(109,Elements13_2_221[Totais:])</f>
        <v>95.793109644414201</v>
      </c>
    </row>
  </sheetData>
  <mergeCells count="3">
    <mergeCell ref="A1:E2"/>
    <mergeCell ref="A4:E4"/>
    <mergeCell ref="A5:E5"/>
  </mergeCells>
  <hyperlinks>
    <hyperlink ref="A1" location="'13.2.22'!A1" display="TUBO DE PVC RIGIDO SOLDAVEL,PARA AGUA FRIA, COM DIAMETRO DE 60MM.FORNECIMENTO" xr:uid="{00000000-0004-0000-4700-000000000000}"/>
    <hyperlink ref="B1" location="'13.2.22'!A1" display="TUBO DE PVC RIGIDO SOLDAVEL,PARA AGUA FRIA, COM DIAMETRO DE 60MM.FORNECIMENTO" xr:uid="{00000000-0004-0000-4700-000001000000}"/>
    <hyperlink ref="C1" location="'13.2.22'!A1" display="TUBO DE PVC RIGIDO SOLDAVEL,PARA AGUA FRIA, COM DIAMETRO DE 60MM.FORNECIMENTO" xr:uid="{00000000-0004-0000-4700-000002000000}"/>
    <hyperlink ref="D1" location="'13.2.22'!A1" display="TUBO DE PVC RIGIDO SOLDAVEL,PARA AGUA FRIA, COM DIAMETRO DE 60MM.FORNECIMENTO" xr:uid="{00000000-0004-0000-4700-000003000000}"/>
    <hyperlink ref="E1" location="'13.2.22'!A1" display="TUBO DE PVC RIGIDO SOLDAVEL,PARA AGUA FRIA, COM DIAMETRO DE 60MM.FORNECIMENTO" xr:uid="{00000000-0004-0000-4700-000004000000}"/>
    <hyperlink ref="A2" location="'13.2.22'!A1" display="TUBO DE PVC RIGIDO SOLDAVEL,PARA AGUA FRIA, COM DIAMETRO DE 60MM.FORNECIMENTO" xr:uid="{00000000-0004-0000-4700-000005000000}"/>
    <hyperlink ref="B2" location="'13.2.22'!A1" display="TUBO DE PVC RIGIDO SOLDAVEL,PARA AGUA FRIA, COM DIAMETRO DE 60MM.FORNECIMENTO" xr:uid="{00000000-0004-0000-4700-000006000000}"/>
    <hyperlink ref="C2" location="'13.2.22'!A1" display="TUBO DE PVC RIGIDO SOLDAVEL,PARA AGUA FRIA, COM DIAMETRO DE 60MM.FORNECIMENTO" xr:uid="{00000000-0004-0000-4700-000007000000}"/>
    <hyperlink ref="D2" location="'13.2.22'!A1" display="TUBO DE PVC RIGIDO SOLDAVEL,PARA AGUA FRIA, COM DIAMETRO DE 60MM.FORNECIMENTO" xr:uid="{00000000-0004-0000-4700-000008000000}"/>
    <hyperlink ref="E2" location="'13.2.22'!A1" display="TUBO DE PVC RIGIDO SOLDAVEL,PARA AGUA FRIA, COM DIAMETRO DE 60MM.FORNECIMENTO" xr:uid="{00000000-0004-0000-4700-000009000000}"/>
    <hyperlink ref="A4" location="'13.2.22'!A1" display="Tubulação (Comprimento)" xr:uid="{00000000-0004-0000-4700-00000A000000}"/>
    <hyperlink ref="B4" location="'13.2.22'!A1" display="Tubulação (Comprimento)" xr:uid="{00000000-0004-0000-4700-00000B000000}"/>
    <hyperlink ref="C4" location="'13.2.22'!A1" display="Tubulação (Comprimento)" xr:uid="{00000000-0004-0000-4700-00000C000000}"/>
    <hyperlink ref="D4" location="'13.2.22'!A1" display="Tubulação (Comprimento)" xr:uid="{00000000-0004-0000-4700-00000D000000}"/>
    <hyperlink ref="E4" location="'13.2.22'!A1" display="Tubulação (Comprimento)" xr:uid="{00000000-0004-0000-4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E193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103</v>
      </c>
      <c r="B1" s="20" t="s">
        <v>103</v>
      </c>
      <c r="C1" s="20" t="s">
        <v>103</v>
      </c>
      <c r="D1" s="20" t="s">
        <v>103</v>
      </c>
      <c r="E1" s="20" t="s">
        <v>103</v>
      </c>
    </row>
    <row r="2" spans="1:5" x14ac:dyDescent="0.25">
      <c r="A2" s="20" t="s">
        <v>103</v>
      </c>
      <c r="B2" s="20" t="s">
        <v>103</v>
      </c>
      <c r="C2" s="20" t="s">
        <v>103</v>
      </c>
      <c r="D2" s="20" t="s">
        <v>103</v>
      </c>
      <c r="E2" s="20" t="s">
        <v>103</v>
      </c>
    </row>
    <row r="4" spans="1:5" x14ac:dyDescent="0.25">
      <c r="A4" s="15" t="s">
        <v>277</v>
      </c>
      <c r="B4" s="15" t="s">
        <v>277</v>
      </c>
      <c r="C4" s="15" t="s">
        <v>277</v>
      </c>
      <c r="D4" s="15" t="s">
        <v>277</v>
      </c>
      <c r="E4" s="15" t="s">
        <v>277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284</v>
      </c>
      <c r="D7" s="8" t="s">
        <v>1376</v>
      </c>
      <c r="E7" s="8">
        <v>0.21621744123489614</v>
      </c>
    </row>
    <row r="8" spans="1:5" ht="24.75" x14ac:dyDescent="0.25">
      <c r="A8" s="8" t="s">
        <v>338</v>
      </c>
      <c r="B8" s="8" t="s">
        <v>224</v>
      </c>
      <c r="C8" s="8" t="s">
        <v>284</v>
      </c>
      <c r="D8" s="8" t="s">
        <v>1377</v>
      </c>
      <c r="E8" s="8">
        <v>15.996209714741195</v>
      </c>
    </row>
    <row r="9" spans="1:5" ht="24.75" x14ac:dyDescent="0.25">
      <c r="A9" s="8" t="s">
        <v>338</v>
      </c>
      <c r="B9" s="8" t="s">
        <v>224</v>
      </c>
      <c r="C9" s="8" t="s">
        <v>284</v>
      </c>
      <c r="D9" s="8" t="s">
        <v>1378</v>
      </c>
      <c r="E9" s="8">
        <v>8.5965805755239461E-2</v>
      </c>
    </row>
    <row r="10" spans="1:5" ht="24.75" x14ac:dyDescent="0.25">
      <c r="A10" s="8" t="s">
        <v>338</v>
      </c>
      <c r="B10" s="8" t="s">
        <v>224</v>
      </c>
      <c r="C10" s="8" t="s">
        <v>284</v>
      </c>
      <c r="D10" s="8" t="s">
        <v>1379</v>
      </c>
      <c r="E10" s="8">
        <v>8.4134139247928466E-2</v>
      </c>
    </row>
    <row r="11" spans="1:5" ht="24.75" x14ac:dyDescent="0.25">
      <c r="A11" s="8" t="s">
        <v>338</v>
      </c>
      <c r="B11" s="8" t="s">
        <v>224</v>
      </c>
      <c r="C11" s="8" t="s">
        <v>284</v>
      </c>
      <c r="D11" s="8" t="s">
        <v>1380</v>
      </c>
      <c r="E11" s="8">
        <v>7.4572857283615276E-2</v>
      </c>
    </row>
    <row r="12" spans="1:5" ht="24.75" x14ac:dyDescent="0.25">
      <c r="A12" s="8" t="s">
        <v>338</v>
      </c>
      <c r="B12" s="8" t="s">
        <v>224</v>
      </c>
      <c r="C12" s="8" t="s">
        <v>284</v>
      </c>
      <c r="D12" s="8" t="s">
        <v>1381</v>
      </c>
      <c r="E12" s="8">
        <v>7.4621002934309996E-2</v>
      </c>
    </row>
    <row r="13" spans="1:5" ht="24.75" x14ac:dyDescent="0.25">
      <c r="A13" s="8" t="s">
        <v>338</v>
      </c>
      <c r="B13" s="8" t="s">
        <v>224</v>
      </c>
      <c r="C13" s="8" t="s">
        <v>284</v>
      </c>
      <c r="D13" s="8" t="s">
        <v>1382</v>
      </c>
      <c r="E13" s="8">
        <v>4.6420425931880907E-2</v>
      </c>
    </row>
    <row r="14" spans="1:5" ht="24.75" x14ac:dyDescent="0.25">
      <c r="A14" s="8" t="s">
        <v>338</v>
      </c>
      <c r="B14" s="8" t="s">
        <v>224</v>
      </c>
      <c r="C14" s="8" t="s">
        <v>284</v>
      </c>
      <c r="D14" s="8" t="s">
        <v>1383</v>
      </c>
      <c r="E14" s="8">
        <v>7.4638392622530372E-2</v>
      </c>
    </row>
    <row r="15" spans="1:5" ht="24.75" x14ac:dyDescent="0.25">
      <c r="A15" s="8" t="s">
        <v>338</v>
      </c>
      <c r="B15" s="8" t="s">
        <v>224</v>
      </c>
      <c r="C15" s="8" t="s">
        <v>284</v>
      </c>
      <c r="D15" s="8" t="s">
        <v>1384</v>
      </c>
      <c r="E15" s="8">
        <v>0.17976383377567487</v>
      </c>
    </row>
    <row r="16" spans="1:5" ht="24.75" x14ac:dyDescent="0.25">
      <c r="A16" s="8" t="s">
        <v>338</v>
      </c>
      <c r="B16" s="8" t="s">
        <v>224</v>
      </c>
      <c r="C16" s="8" t="s">
        <v>284</v>
      </c>
      <c r="D16" s="8" t="s">
        <v>1385</v>
      </c>
      <c r="E16" s="8">
        <v>0.14671519145564263</v>
      </c>
    </row>
    <row r="17" spans="1:5" ht="24.75" x14ac:dyDescent="0.25">
      <c r="A17" s="8" t="s">
        <v>338</v>
      </c>
      <c r="B17" s="8" t="s">
        <v>224</v>
      </c>
      <c r="C17" s="8" t="s">
        <v>284</v>
      </c>
      <c r="D17" s="8" t="s">
        <v>1386</v>
      </c>
      <c r="E17" s="8">
        <v>0.19634203313289633</v>
      </c>
    </row>
    <row r="18" spans="1:5" ht="24.75" x14ac:dyDescent="0.25">
      <c r="A18" s="8" t="s">
        <v>338</v>
      </c>
      <c r="B18" s="8" t="s">
        <v>224</v>
      </c>
      <c r="C18" s="8" t="s">
        <v>284</v>
      </c>
      <c r="D18" s="8" t="s">
        <v>1387</v>
      </c>
      <c r="E18" s="8">
        <v>0.22977534689718335</v>
      </c>
    </row>
    <row r="19" spans="1:5" ht="24.75" x14ac:dyDescent="0.25">
      <c r="A19" s="8" t="s">
        <v>338</v>
      </c>
      <c r="B19" s="8" t="s">
        <v>224</v>
      </c>
      <c r="C19" s="8" t="s">
        <v>284</v>
      </c>
      <c r="D19" s="8" t="s">
        <v>1388</v>
      </c>
      <c r="E19" s="8">
        <v>16.753301279738281</v>
      </c>
    </row>
    <row r="20" spans="1:5" ht="24.75" x14ac:dyDescent="0.25">
      <c r="A20" s="8" t="s">
        <v>338</v>
      </c>
      <c r="B20" s="8" t="s">
        <v>224</v>
      </c>
      <c r="C20" s="8" t="s">
        <v>284</v>
      </c>
      <c r="D20" s="8" t="s">
        <v>1389</v>
      </c>
      <c r="E20" s="8">
        <v>6.9289884590630138E-2</v>
      </c>
    </row>
    <row r="21" spans="1:5" ht="24.75" x14ac:dyDescent="0.25">
      <c r="A21" s="8" t="s">
        <v>338</v>
      </c>
      <c r="B21" s="8" t="s">
        <v>224</v>
      </c>
      <c r="C21" s="8" t="s">
        <v>284</v>
      </c>
      <c r="D21" s="8" t="s">
        <v>1390</v>
      </c>
      <c r="E21" s="8">
        <v>7.7185378894767162E-2</v>
      </c>
    </row>
    <row r="22" spans="1:5" ht="24.75" x14ac:dyDescent="0.25">
      <c r="A22" s="8" t="s">
        <v>338</v>
      </c>
      <c r="B22" s="8" t="s">
        <v>224</v>
      </c>
      <c r="C22" s="8" t="s">
        <v>284</v>
      </c>
      <c r="D22" s="8" t="s">
        <v>1391</v>
      </c>
      <c r="E22" s="8">
        <v>0.14049800955216024</v>
      </c>
    </row>
    <row r="23" spans="1:5" ht="24.75" x14ac:dyDescent="0.25">
      <c r="A23" s="8" t="s">
        <v>338</v>
      </c>
      <c r="B23" s="8" t="s">
        <v>224</v>
      </c>
      <c r="C23" s="8" t="s">
        <v>284</v>
      </c>
      <c r="D23" s="8" t="s">
        <v>1392</v>
      </c>
      <c r="E23" s="8">
        <v>0.19986836317486023</v>
      </c>
    </row>
    <row r="24" spans="1:5" ht="24.75" x14ac:dyDescent="0.25">
      <c r="A24" s="8" t="s">
        <v>338</v>
      </c>
      <c r="B24" s="8" t="s">
        <v>224</v>
      </c>
      <c r="C24" s="8" t="s">
        <v>284</v>
      </c>
      <c r="D24" s="8" t="s">
        <v>1393</v>
      </c>
      <c r="E24" s="8">
        <v>0.13896602985891682</v>
      </c>
    </row>
    <row r="25" spans="1:5" ht="24.75" x14ac:dyDescent="0.25">
      <c r="A25" s="8" t="s">
        <v>338</v>
      </c>
      <c r="B25" s="8" t="s">
        <v>224</v>
      </c>
      <c r="C25" s="8" t="s">
        <v>284</v>
      </c>
      <c r="D25" s="8" t="s">
        <v>1394</v>
      </c>
      <c r="E25" s="8">
        <v>0.67638654098182394</v>
      </c>
    </row>
    <row r="26" spans="1:5" ht="24.75" x14ac:dyDescent="0.25">
      <c r="A26" s="8" t="s">
        <v>338</v>
      </c>
      <c r="B26" s="8" t="s">
        <v>224</v>
      </c>
      <c r="C26" s="8" t="s">
        <v>284</v>
      </c>
      <c r="D26" s="8" t="s">
        <v>1395</v>
      </c>
      <c r="E26" s="8">
        <v>0.43067706660950444</v>
      </c>
    </row>
    <row r="27" spans="1:5" ht="24.75" x14ac:dyDescent="0.25">
      <c r="A27" s="8" t="s">
        <v>338</v>
      </c>
      <c r="B27" s="8" t="s">
        <v>224</v>
      </c>
      <c r="C27" s="8" t="s">
        <v>284</v>
      </c>
      <c r="D27" s="8" t="s">
        <v>1396</v>
      </c>
      <c r="E27" s="8">
        <v>0.1245483483268959</v>
      </c>
    </row>
    <row r="28" spans="1:5" ht="24.75" x14ac:dyDescent="0.25">
      <c r="A28" s="8" t="s">
        <v>338</v>
      </c>
      <c r="B28" s="8" t="s">
        <v>224</v>
      </c>
      <c r="C28" s="8" t="s">
        <v>284</v>
      </c>
      <c r="D28" s="8" t="s">
        <v>1397</v>
      </c>
      <c r="E28" s="8">
        <v>0.16838824967253457</v>
      </c>
    </row>
    <row r="29" spans="1:5" ht="24.75" x14ac:dyDescent="0.25">
      <c r="A29" s="8" t="s">
        <v>338</v>
      </c>
      <c r="B29" s="8" t="s">
        <v>224</v>
      </c>
      <c r="C29" s="8" t="s">
        <v>284</v>
      </c>
      <c r="D29" s="8" t="s">
        <v>1398</v>
      </c>
      <c r="E29" s="8">
        <v>1.5589193014152629</v>
      </c>
    </row>
    <row r="30" spans="1:5" ht="24.75" x14ac:dyDescent="0.25">
      <c r="A30" s="8" t="s">
        <v>338</v>
      </c>
      <c r="B30" s="8" t="s">
        <v>224</v>
      </c>
      <c r="C30" s="8" t="s">
        <v>284</v>
      </c>
      <c r="D30" s="8" t="s">
        <v>1399</v>
      </c>
      <c r="E30" s="8">
        <v>1.5190398897520494</v>
      </c>
    </row>
    <row r="31" spans="1:5" ht="24.75" x14ac:dyDescent="0.25">
      <c r="A31" s="8" t="s">
        <v>338</v>
      </c>
      <c r="B31" s="8" t="s">
        <v>224</v>
      </c>
      <c r="C31" s="8" t="s">
        <v>284</v>
      </c>
      <c r="D31" s="8" t="s">
        <v>1400</v>
      </c>
      <c r="E31" s="8">
        <v>0.18842603598343055</v>
      </c>
    </row>
    <row r="32" spans="1:5" ht="24.75" x14ac:dyDescent="0.25">
      <c r="A32" s="8" t="s">
        <v>338</v>
      </c>
      <c r="B32" s="8" t="s">
        <v>224</v>
      </c>
      <c r="C32" s="8" t="s">
        <v>284</v>
      </c>
      <c r="D32" s="8" t="s">
        <v>1401</v>
      </c>
      <c r="E32" s="8">
        <v>0.40488593642221959</v>
      </c>
    </row>
    <row r="33" spans="1:5" ht="24.75" x14ac:dyDescent="0.25">
      <c r="A33" s="8" t="s">
        <v>338</v>
      </c>
      <c r="B33" s="8" t="s">
        <v>224</v>
      </c>
      <c r="C33" s="8" t="s">
        <v>284</v>
      </c>
      <c r="D33" s="8" t="s">
        <v>1402</v>
      </c>
      <c r="E33" s="8">
        <v>0.40533185464566163</v>
      </c>
    </row>
    <row r="34" spans="1:5" ht="24.75" x14ac:dyDescent="0.25">
      <c r="A34" s="8" t="s">
        <v>338</v>
      </c>
      <c r="B34" s="8" t="s">
        <v>224</v>
      </c>
      <c r="C34" s="8" t="s">
        <v>284</v>
      </c>
      <c r="D34" s="8" t="s">
        <v>1403</v>
      </c>
      <c r="E34" s="8">
        <v>2.3674297923071759</v>
      </c>
    </row>
    <row r="35" spans="1:5" ht="24.75" x14ac:dyDescent="0.25">
      <c r="A35" s="8" t="s">
        <v>338</v>
      </c>
      <c r="B35" s="8" t="s">
        <v>224</v>
      </c>
      <c r="C35" s="8" t="s">
        <v>284</v>
      </c>
      <c r="D35" s="8" t="s">
        <v>1404</v>
      </c>
      <c r="E35" s="8">
        <v>0.34265683664350094</v>
      </c>
    </row>
    <row r="36" spans="1:5" ht="24.75" x14ac:dyDescent="0.25">
      <c r="A36" s="8" t="s">
        <v>338</v>
      </c>
      <c r="B36" s="8" t="s">
        <v>224</v>
      </c>
      <c r="C36" s="8" t="s">
        <v>284</v>
      </c>
      <c r="D36" s="8" t="s">
        <v>1405</v>
      </c>
      <c r="E36" s="8">
        <v>0.33301399810060556</v>
      </c>
    </row>
    <row r="37" spans="1:5" ht="24.75" x14ac:dyDescent="0.25">
      <c r="A37" s="8" t="s">
        <v>338</v>
      </c>
      <c r="B37" s="8" t="s">
        <v>224</v>
      </c>
      <c r="C37" s="8" t="s">
        <v>284</v>
      </c>
      <c r="D37" s="8" t="s">
        <v>1406</v>
      </c>
      <c r="E37" s="8">
        <v>0.92730471249185187</v>
      </c>
    </row>
    <row r="38" spans="1:5" ht="24.75" x14ac:dyDescent="0.25">
      <c r="A38" s="8" t="s">
        <v>338</v>
      </c>
      <c r="B38" s="8" t="s">
        <v>224</v>
      </c>
      <c r="C38" s="8" t="s">
        <v>284</v>
      </c>
      <c r="D38" s="8" t="s">
        <v>1407</v>
      </c>
      <c r="E38" s="8">
        <v>0.91763370237280129</v>
      </c>
    </row>
    <row r="39" spans="1:5" ht="24.75" x14ac:dyDescent="0.25">
      <c r="A39" s="8" t="s">
        <v>338</v>
      </c>
      <c r="B39" s="8" t="s">
        <v>224</v>
      </c>
      <c r="C39" s="8" t="s">
        <v>284</v>
      </c>
      <c r="D39" s="8" t="s">
        <v>1408</v>
      </c>
      <c r="E39" s="8">
        <v>8.4126903718876309E-2</v>
      </c>
    </row>
    <row r="40" spans="1:5" ht="24.75" x14ac:dyDescent="0.25">
      <c r="A40" s="8" t="s">
        <v>338</v>
      </c>
      <c r="B40" s="8" t="s">
        <v>224</v>
      </c>
      <c r="C40" s="8" t="s">
        <v>284</v>
      </c>
      <c r="D40" s="8" t="s">
        <v>1409</v>
      </c>
      <c r="E40" s="8">
        <v>8.4795737717995937E-2</v>
      </c>
    </row>
    <row r="41" spans="1:5" ht="24.75" x14ac:dyDescent="0.25">
      <c r="A41" s="8" t="s">
        <v>338</v>
      </c>
      <c r="B41" s="8" t="s">
        <v>224</v>
      </c>
      <c r="C41" s="8" t="s">
        <v>284</v>
      </c>
      <c r="D41" s="8" t="s">
        <v>1410</v>
      </c>
      <c r="E41" s="8">
        <v>8.4806933978448532E-2</v>
      </c>
    </row>
    <row r="42" spans="1:5" ht="24.75" x14ac:dyDescent="0.25">
      <c r="A42" s="8" t="s">
        <v>338</v>
      </c>
      <c r="B42" s="8" t="s">
        <v>224</v>
      </c>
      <c r="C42" s="8" t="s">
        <v>284</v>
      </c>
      <c r="D42" s="8" t="s">
        <v>1411</v>
      </c>
      <c r="E42" s="8">
        <v>8.4797322103027345E-2</v>
      </c>
    </row>
    <row r="43" spans="1:5" ht="24.75" x14ac:dyDescent="0.25">
      <c r="A43" s="8" t="s">
        <v>338</v>
      </c>
      <c r="B43" s="8" t="s">
        <v>224</v>
      </c>
      <c r="C43" s="8" t="s">
        <v>284</v>
      </c>
      <c r="D43" s="8" t="s">
        <v>1412</v>
      </c>
      <c r="E43" s="8">
        <v>8.5470428255339931E-2</v>
      </c>
    </row>
    <row r="44" spans="1:5" ht="24.75" x14ac:dyDescent="0.25">
      <c r="A44" s="8" t="s">
        <v>338</v>
      </c>
      <c r="B44" s="8" t="s">
        <v>224</v>
      </c>
      <c r="C44" s="8" t="s">
        <v>284</v>
      </c>
      <c r="D44" s="8" t="s">
        <v>1413</v>
      </c>
      <c r="E44" s="8">
        <v>0.18109530724226844</v>
      </c>
    </row>
    <row r="45" spans="1:5" ht="24.75" x14ac:dyDescent="0.25">
      <c r="A45" s="8" t="s">
        <v>338</v>
      </c>
      <c r="B45" s="8" t="s">
        <v>224</v>
      </c>
      <c r="C45" s="8" t="s">
        <v>284</v>
      </c>
      <c r="D45" s="8" t="s">
        <v>1414</v>
      </c>
      <c r="E45" s="8">
        <v>4.6199501716625999</v>
      </c>
    </row>
    <row r="46" spans="1:5" ht="24.75" x14ac:dyDescent="0.25">
      <c r="A46" s="8" t="s">
        <v>338</v>
      </c>
      <c r="B46" s="8" t="s">
        <v>224</v>
      </c>
      <c r="C46" s="8" t="s">
        <v>284</v>
      </c>
      <c r="D46" s="8" t="s">
        <v>1415</v>
      </c>
      <c r="E46" s="8">
        <v>0.2388969915425149</v>
      </c>
    </row>
    <row r="47" spans="1:5" ht="24.75" x14ac:dyDescent="0.25">
      <c r="A47" s="8" t="s">
        <v>338</v>
      </c>
      <c r="B47" s="8" t="s">
        <v>224</v>
      </c>
      <c r="C47" s="8" t="s">
        <v>284</v>
      </c>
      <c r="D47" s="8" t="s">
        <v>1416</v>
      </c>
      <c r="E47" s="8">
        <v>0.26545340616638535</v>
      </c>
    </row>
    <row r="48" spans="1:5" ht="24.75" x14ac:dyDescent="0.25">
      <c r="A48" s="8" t="s">
        <v>338</v>
      </c>
      <c r="B48" s="8" t="s">
        <v>224</v>
      </c>
      <c r="C48" s="8" t="s">
        <v>284</v>
      </c>
      <c r="D48" s="8" t="s">
        <v>1417</v>
      </c>
      <c r="E48" s="8">
        <v>9.1804586702133248E-2</v>
      </c>
    </row>
    <row r="49" spans="1:5" ht="24.75" x14ac:dyDescent="0.25">
      <c r="A49" s="8" t="s">
        <v>338</v>
      </c>
      <c r="B49" s="8" t="s">
        <v>224</v>
      </c>
      <c r="C49" s="8" t="s">
        <v>284</v>
      </c>
      <c r="D49" s="8" t="s">
        <v>1418</v>
      </c>
      <c r="E49" s="8">
        <v>0.17130201131859388</v>
      </c>
    </row>
    <row r="50" spans="1:5" ht="24.75" x14ac:dyDescent="0.25">
      <c r="A50" s="8" t="s">
        <v>338</v>
      </c>
      <c r="B50" s="8" t="s">
        <v>224</v>
      </c>
      <c r="C50" s="8" t="s">
        <v>284</v>
      </c>
      <c r="D50" s="8" t="s">
        <v>1419</v>
      </c>
      <c r="E50" s="8">
        <v>0.19297871134409461</v>
      </c>
    </row>
    <row r="51" spans="1:5" ht="24.75" x14ac:dyDescent="0.25">
      <c r="A51" s="8" t="s">
        <v>338</v>
      </c>
      <c r="B51" s="8" t="s">
        <v>224</v>
      </c>
      <c r="C51" s="8" t="s">
        <v>284</v>
      </c>
      <c r="D51" s="8" t="s">
        <v>1420</v>
      </c>
      <c r="E51" s="8">
        <v>0.10880447918869388</v>
      </c>
    </row>
    <row r="52" spans="1:5" ht="24.75" x14ac:dyDescent="0.25">
      <c r="A52" s="8" t="s">
        <v>338</v>
      </c>
      <c r="B52" s="8" t="s">
        <v>224</v>
      </c>
      <c r="C52" s="8" t="s">
        <v>284</v>
      </c>
      <c r="D52" s="8" t="s">
        <v>1421</v>
      </c>
      <c r="E52" s="8">
        <v>0.1968400018503787</v>
      </c>
    </row>
    <row r="53" spans="1:5" ht="24.75" x14ac:dyDescent="0.25">
      <c r="A53" s="8" t="s">
        <v>338</v>
      </c>
      <c r="B53" s="8" t="s">
        <v>224</v>
      </c>
      <c r="C53" s="8" t="s">
        <v>284</v>
      </c>
      <c r="D53" s="8" t="s">
        <v>1422</v>
      </c>
      <c r="E53" s="8">
        <v>0.14575882393666839</v>
      </c>
    </row>
    <row r="54" spans="1:5" ht="24.75" x14ac:dyDescent="0.25">
      <c r="A54" s="8" t="s">
        <v>338</v>
      </c>
      <c r="B54" s="8" t="s">
        <v>224</v>
      </c>
      <c r="C54" s="8" t="s">
        <v>284</v>
      </c>
      <c r="D54" s="8" t="s">
        <v>1423</v>
      </c>
      <c r="E54" s="8">
        <v>0.21164188430497757</v>
      </c>
    </row>
    <row r="55" spans="1:5" ht="24.75" x14ac:dyDescent="0.25">
      <c r="A55" s="8" t="s">
        <v>338</v>
      </c>
      <c r="B55" s="8" t="s">
        <v>224</v>
      </c>
      <c r="C55" s="8" t="s">
        <v>284</v>
      </c>
      <c r="D55" s="8" t="s">
        <v>1424</v>
      </c>
      <c r="E55" s="8">
        <v>0.27273884135703874</v>
      </c>
    </row>
    <row r="56" spans="1:5" ht="24.75" x14ac:dyDescent="0.25">
      <c r="A56" s="8" t="s">
        <v>338</v>
      </c>
      <c r="B56" s="8" t="s">
        <v>224</v>
      </c>
      <c r="C56" s="8" t="s">
        <v>284</v>
      </c>
      <c r="D56" s="8" t="s">
        <v>1425</v>
      </c>
      <c r="E56" s="8">
        <v>0.43631226899868686</v>
      </c>
    </row>
    <row r="57" spans="1:5" ht="24.75" x14ac:dyDescent="0.25">
      <c r="A57" s="8" t="s">
        <v>338</v>
      </c>
      <c r="B57" s="8" t="s">
        <v>224</v>
      </c>
      <c r="C57" s="8" t="s">
        <v>284</v>
      </c>
      <c r="D57" s="8" t="s">
        <v>1426</v>
      </c>
      <c r="E57" s="8">
        <v>7.499604802634513E-2</v>
      </c>
    </row>
    <row r="58" spans="1:5" ht="24.75" x14ac:dyDescent="0.25">
      <c r="A58" s="8" t="s">
        <v>338</v>
      </c>
      <c r="B58" s="8" t="s">
        <v>224</v>
      </c>
      <c r="C58" s="8" t="s">
        <v>284</v>
      </c>
      <c r="D58" s="8" t="s">
        <v>1427</v>
      </c>
      <c r="E58" s="8">
        <v>8.7159785764526154E-2</v>
      </c>
    </row>
    <row r="59" spans="1:5" ht="24.75" x14ac:dyDescent="0.25">
      <c r="A59" s="8" t="s">
        <v>338</v>
      </c>
      <c r="B59" s="8" t="s">
        <v>224</v>
      </c>
      <c r="C59" s="8" t="s">
        <v>284</v>
      </c>
      <c r="D59" s="8" t="s">
        <v>1428</v>
      </c>
      <c r="E59" s="8">
        <v>0.22885799652760244</v>
      </c>
    </row>
    <row r="60" spans="1:5" ht="24.75" x14ac:dyDescent="0.25">
      <c r="A60" s="8" t="s">
        <v>338</v>
      </c>
      <c r="B60" s="8" t="s">
        <v>224</v>
      </c>
      <c r="C60" s="8" t="s">
        <v>284</v>
      </c>
      <c r="D60" s="8" t="s">
        <v>1429</v>
      </c>
      <c r="E60" s="8">
        <v>7.8049297073312485E-2</v>
      </c>
    </row>
    <row r="61" spans="1:5" ht="24.75" x14ac:dyDescent="0.25">
      <c r="A61" s="8" t="s">
        <v>338</v>
      </c>
      <c r="B61" s="8" t="s">
        <v>224</v>
      </c>
      <c r="C61" s="8" t="s">
        <v>284</v>
      </c>
      <c r="D61" s="8" t="s">
        <v>1430</v>
      </c>
      <c r="E61" s="8">
        <v>0.20402317637939074</v>
      </c>
    </row>
    <row r="62" spans="1:5" ht="24.75" x14ac:dyDescent="0.25">
      <c r="A62" s="8" t="s">
        <v>338</v>
      </c>
      <c r="B62" s="8" t="s">
        <v>224</v>
      </c>
      <c r="C62" s="8" t="s">
        <v>284</v>
      </c>
      <c r="D62" s="8" t="s">
        <v>1431</v>
      </c>
      <c r="E62" s="8">
        <v>0.15960125084908647</v>
      </c>
    </row>
    <row r="63" spans="1:5" ht="24.75" x14ac:dyDescent="0.25">
      <c r="A63" s="8" t="s">
        <v>338</v>
      </c>
      <c r="B63" s="8" t="s">
        <v>224</v>
      </c>
      <c r="C63" s="8" t="s">
        <v>284</v>
      </c>
      <c r="D63" s="8" t="s">
        <v>1432</v>
      </c>
      <c r="E63" s="8">
        <v>0.34264412645577652</v>
      </c>
    </row>
    <row r="64" spans="1:5" ht="24.75" x14ac:dyDescent="0.25">
      <c r="A64" s="8" t="s">
        <v>338</v>
      </c>
      <c r="B64" s="8" t="s">
        <v>224</v>
      </c>
      <c r="C64" s="8" t="s">
        <v>284</v>
      </c>
      <c r="D64" s="8" t="s">
        <v>1433</v>
      </c>
      <c r="E64" s="8">
        <v>0.91730907223999281</v>
      </c>
    </row>
    <row r="65" spans="1:5" ht="24.75" x14ac:dyDescent="0.25">
      <c r="A65" s="8" t="s">
        <v>338</v>
      </c>
      <c r="B65" s="8" t="s">
        <v>224</v>
      </c>
      <c r="C65" s="8" t="s">
        <v>284</v>
      </c>
      <c r="D65" s="8" t="s">
        <v>1434</v>
      </c>
      <c r="E65" s="8">
        <v>0.38379190364255733</v>
      </c>
    </row>
    <row r="66" spans="1:5" ht="24.75" x14ac:dyDescent="0.25">
      <c r="A66" s="8" t="s">
        <v>338</v>
      </c>
      <c r="B66" s="8" t="s">
        <v>224</v>
      </c>
      <c r="C66" s="8" t="s">
        <v>284</v>
      </c>
      <c r="D66" s="8" t="s">
        <v>1435</v>
      </c>
      <c r="E66" s="8">
        <v>0.34713744476259856</v>
      </c>
    </row>
    <row r="67" spans="1:5" ht="24.75" x14ac:dyDescent="0.25">
      <c r="A67" s="8" t="s">
        <v>338</v>
      </c>
      <c r="B67" s="8" t="s">
        <v>224</v>
      </c>
      <c r="C67" s="8" t="s">
        <v>284</v>
      </c>
      <c r="D67" s="8" t="s">
        <v>1436</v>
      </c>
      <c r="E67" s="8">
        <v>0.35969367154654924</v>
      </c>
    </row>
    <row r="68" spans="1:5" ht="24.75" x14ac:dyDescent="0.25">
      <c r="A68" s="8" t="s">
        <v>338</v>
      </c>
      <c r="B68" s="8" t="s">
        <v>224</v>
      </c>
      <c r="C68" s="8" t="s">
        <v>284</v>
      </c>
      <c r="D68" s="8" t="s">
        <v>1437</v>
      </c>
      <c r="E68" s="8">
        <v>0.91205997331175737</v>
      </c>
    </row>
    <row r="69" spans="1:5" ht="24.75" x14ac:dyDescent="0.25">
      <c r="A69" s="8" t="s">
        <v>338</v>
      </c>
      <c r="B69" s="8" t="s">
        <v>224</v>
      </c>
      <c r="C69" s="8" t="s">
        <v>284</v>
      </c>
      <c r="D69" s="8" t="s">
        <v>1438</v>
      </c>
      <c r="E69" s="8">
        <v>2.3874295455292938</v>
      </c>
    </row>
    <row r="70" spans="1:5" ht="24.75" x14ac:dyDescent="0.25">
      <c r="A70" s="8" t="s">
        <v>338</v>
      </c>
      <c r="B70" s="8" t="s">
        <v>224</v>
      </c>
      <c r="C70" s="8" t="s">
        <v>284</v>
      </c>
      <c r="D70" s="8" t="s">
        <v>1439</v>
      </c>
      <c r="E70" s="8">
        <v>0.32420521101139321</v>
      </c>
    </row>
    <row r="71" spans="1:5" ht="24.75" x14ac:dyDescent="0.25">
      <c r="A71" s="8" t="s">
        <v>338</v>
      </c>
      <c r="B71" s="8" t="s">
        <v>224</v>
      </c>
      <c r="C71" s="8" t="s">
        <v>284</v>
      </c>
      <c r="D71" s="8" t="s">
        <v>1440</v>
      </c>
      <c r="E71" s="8">
        <v>0.91735742852210977</v>
      </c>
    </row>
    <row r="72" spans="1:5" ht="24.75" x14ac:dyDescent="0.25">
      <c r="A72" s="8" t="s">
        <v>338</v>
      </c>
      <c r="B72" s="8" t="s">
        <v>224</v>
      </c>
      <c r="C72" s="8" t="s">
        <v>284</v>
      </c>
      <c r="D72" s="8" t="s">
        <v>1441</v>
      </c>
      <c r="E72" s="8">
        <v>0.2495381134058326</v>
      </c>
    </row>
    <row r="73" spans="1:5" ht="24.75" x14ac:dyDescent="0.25">
      <c r="A73" s="8" t="s">
        <v>338</v>
      </c>
      <c r="B73" s="8" t="s">
        <v>224</v>
      </c>
      <c r="C73" s="8" t="s">
        <v>284</v>
      </c>
      <c r="D73" s="8" t="s">
        <v>1442</v>
      </c>
      <c r="E73" s="8">
        <v>0.14917408207657448</v>
      </c>
    </row>
    <row r="74" spans="1:5" ht="24.75" x14ac:dyDescent="0.25">
      <c r="A74" s="8" t="s">
        <v>338</v>
      </c>
      <c r="B74" s="8" t="s">
        <v>224</v>
      </c>
      <c r="C74" s="8" t="s">
        <v>284</v>
      </c>
      <c r="D74" s="8" t="s">
        <v>1443</v>
      </c>
      <c r="E74" s="8">
        <v>2.0319478833555107</v>
      </c>
    </row>
    <row r="75" spans="1:5" ht="24.75" x14ac:dyDescent="0.25">
      <c r="A75" s="8" t="s">
        <v>338</v>
      </c>
      <c r="B75" s="8" t="s">
        <v>224</v>
      </c>
      <c r="C75" s="8" t="s">
        <v>284</v>
      </c>
      <c r="D75" s="8" t="s">
        <v>1444</v>
      </c>
      <c r="E75" s="8">
        <v>0.40162865471699577</v>
      </c>
    </row>
    <row r="76" spans="1:5" ht="24.75" x14ac:dyDescent="0.25">
      <c r="A76" s="8" t="s">
        <v>338</v>
      </c>
      <c r="B76" s="8" t="s">
        <v>224</v>
      </c>
      <c r="C76" s="8" t="s">
        <v>284</v>
      </c>
      <c r="D76" s="8" t="s">
        <v>1445</v>
      </c>
      <c r="E76" s="8">
        <v>0.14843192000561045</v>
      </c>
    </row>
    <row r="77" spans="1:5" ht="24.75" x14ac:dyDescent="0.25">
      <c r="A77" s="8" t="s">
        <v>338</v>
      </c>
      <c r="B77" s="8" t="s">
        <v>224</v>
      </c>
      <c r="C77" s="8" t="s">
        <v>284</v>
      </c>
      <c r="D77" s="8" t="s">
        <v>1446</v>
      </c>
      <c r="E77" s="8">
        <v>0.69193348778296526</v>
      </c>
    </row>
    <row r="78" spans="1:5" ht="24.75" x14ac:dyDescent="0.25">
      <c r="A78" s="8" t="s">
        <v>338</v>
      </c>
      <c r="B78" s="8" t="s">
        <v>224</v>
      </c>
      <c r="C78" s="8" t="s">
        <v>284</v>
      </c>
      <c r="D78" s="8" t="s">
        <v>1447</v>
      </c>
      <c r="E78" s="8">
        <v>9.4739448077556521</v>
      </c>
    </row>
    <row r="79" spans="1:5" ht="24.75" x14ac:dyDescent="0.25">
      <c r="A79" s="8" t="s">
        <v>338</v>
      </c>
      <c r="B79" s="8" t="s">
        <v>224</v>
      </c>
      <c r="C79" s="8" t="s">
        <v>284</v>
      </c>
      <c r="D79" s="8" t="s">
        <v>1448</v>
      </c>
      <c r="E79" s="8">
        <v>7.3905478196937873</v>
      </c>
    </row>
    <row r="80" spans="1:5" ht="24.75" x14ac:dyDescent="0.25">
      <c r="A80" s="8" t="s">
        <v>338</v>
      </c>
      <c r="B80" s="8" t="s">
        <v>224</v>
      </c>
      <c r="C80" s="8" t="s">
        <v>284</v>
      </c>
      <c r="D80" s="8" t="s">
        <v>1449</v>
      </c>
      <c r="E80" s="8">
        <v>13.233712103217709</v>
      </c>
    </row>
    <row r="81" spans="1:5" ht="24.75" x14ac:dyDescent="0.25">
      <c r="A81" s="8" t="s">
        <v>338</v>
      </c>
      <c r="B81" s="8" t="s">
        <v>224</v>
      </c>
      <c r="C81" s="8" t="s">
        <v>284</v>
      </c>
      <c r="D81" s="8" t="s">
        <v>1450</v>
      </c>
      <c r="E81" s="8">
        <v>21.812694262494265</v>
      </c>
    </row>
    <row r="82" spans="1:5" ht="24.75" x14ac:dyDescent="0.25">
      <c r="A82" s="8" t="s">
        <v>338</v>
      </c>
      <c r="B82" s="8" t="s">
        <v>224</v>
      </c>
      <c r="C82" s="8" t="s">
        <v>284</v>
      </c>
      <c r="D82" s="8" t="s">
        <v>1451</v>
      </c>
      <c r="E82" s="8">
        <v>5.53842978603</v>
      </c>
    </row>
    <row r="83" spans="1:5" ht="24.75" x14ac:dyDescent="0.25">
      <c r="A83" s="8" t="s">
        <v>338</v>
      </c>
      <c r="B83" s="8" t="s">
        <v>224</v>
      </c>
      <c r="C83" s="8" t="s">
        <v>284</v>
      </c>
      <c r="D83" s="8" t="s">
        <v>1452</v>
      </c>
      <c r="E83" s="8">
        <v>6.3242605800683496</v>
      </c>
    </row>
    <row r="84" spans="1:5" ht="24.75" x14ac:dyDescent="0.25">
      <c r="A84" s="8" t="s">
        <v>338</v>
      </c>
      <c r="B84" s="8" t="s">
        <v>224</v>
      </c>
      <c r="C84" s="8" t="s">
        <v>284</v>
      </c>
      <c r="D84" s="8" t="s">
        <v>1453</v>
      </c>
      <c r="E84" s="8">
        <v>0.35341324464976348</v>
      </c>
    </row>
    <row r="85" spans="1:5" ht="24.75" x14ac:dyDescent="0.25">
      <c r="A85" s="8" t="s">
        <v>338</v>
      </c>
      <c r="B85" s="8" t="s">
        <v>224</v>
      </c>
      <c r="C85" s="8" t="s">
        <v>284</v>
      </c>
      <c r="D85" s="8" t="s">
        <v>1454</v>
      </c>
      <c r="E85" s="8">
        <v>0.4634971110327325</v>
      </c>
    </row>
    <row r="86" spans="1:5" ht="24.75" x14ac:dyDescent="0.25">
      <c r="A86" s="8" t="s">
        <v>338</v>
      </c>
      <c r="B86" s="8" t="s">
        <v>224</v>
      </c>
      <c r="C86" s="8" t="s">
        <v>284</v>
      </c>
      <c r="D86" s="8" t="s">
        <v>1455</v>
      </c>
      <c r="E86" s="8">
        <v>0.46224711103888322</v>
      </c>
    </row>
    <row r="87" spans="1:5" ht="24.75" x14ac:dyDescent="0.25">
      <c r="A87" s="8" t="s">
        <v>338</v>
      </c>
      <c r="B87" s="8" t="s">
        <v>224</v>
      </c>
      <c r="C87" s="8" t="s">
        <v>284</v>
      </c>
      <c r="D87" s="8" t="s">
        <v>1456</v>
      </c>
      <c r="E87" s="8">
        <v>0.21332861787407856</v>
      </c>
    </row>
    <row r="88" spans="1:5" ht="24.75" x14ac:dyDescent="0.25">
      <c r="A88" s="8" t="s">
        <v>338</v>
      </c>
      <c r="B88" s="8" t="s">
        <v>224</v>
      </c>
      <c r="C88" s="8" t="s">
        <v>284</v>
      </c>
      <c r="D88" s="8" t="s">
        <v>1457</v>
      </c>
      <c r="E88" s="8">
        <v>1.0221400506327207</v>
      </c>
    </row>
    <row r="89" spans="1:5" ht="24.75" x14ac:dyDescent="0.25">
      <c r="A89" s="8" t="s">
        <v>338</v>
      </c>
      <c r="B89" s="8" t="s">
        <v>224</v>
      </c>
      <c r="C89" s="8" t="s">
        <v>284</v>
      </c>
      <c r="D89" s="8" t="s">
        <v>1458</v>
      </c>
      <c r="E89" s="8">
        <v>0.91925750879895785</v>
      </c>
    </row>
    <row r="90" spans="1:5" ht="24.75" x14ac:dyDescent="0.25">
      <c r="A90" s="8" t="s">
        <v>338</v>
      </c>
      <c r="B90" s="8" t="s">
        <v>224</v>
      </c>
      <c r="C90" s="8" t="s">
        <v>284</v>
      </c>
      <c r="D90" s="8" t="s">
        <v>1459</v>
      </c>
      <c r="E90" s="8">
        <v>0.41206168589808956</v>
      </c>
    </row>
    <row r="91" spans="1:5" ht="24.75" x14ac:dyDescent="0.25">
      <c r="A91" s="8" t="s">
        <v>338</v>
      </c>
      <c r="B91" s="8" t="s">
        <v>224</v>
      </c>
      <c r="C91" s="8" t="s">
        <v>284</v>
      </c>
      <c r="D91" s="8" t="s">
        <v>1460</v>
      </c>
      <c r="E91" s="8">
        <v>0.21290864431601533</v>
      </c>
    </row>
    <row r="92" spans="1:5" ht="24.75" x14ac:dyDescent="0.25">
      <c r="A92" s="8" t="s">
        <v>338</v>
      </c>
      <c r="B92" s="8" t="s">
        <v>224</v>
      </c>
      <c r="C92" s="8" t="s">
        <v>284</v>
      </c>
      <c r="D92" s="8" t="s">
        <v>1461</v>
      </c>
      <c r="E92" s="8">
        <v>0.36945175519797829</v>
      </c>
    </row>
    <row r="93" spans="1:5" ht="24.75" x14ac:dyDescent="0.25">
      <c r="A93" s="8" t="s">
        <v>338</v>
      </c>
      <c r="B93" s="8" t="s">
        <v>224</v>
      </c>
      <c r="C93" s="8" t="s">
        <v>284</v>
      </c>
      <c r="D93" s="8" t="s">
        <v>1462</v>
      </c>
      <c r="E93" s="8">
        <v>0.12659547605982893</v>
      </c>
    </row>
    <row r="94" spans="1:5" ht="24.75" x14ac:dyDescent="0.25">
      <c r="A94" s="8" t="s">
        <v>338</v>
      </c>
      <c r="B94" s="8" t="s">
        <v>224</v>
      </c>
      <c r="C94" s="8" t="s">
        <v>284</v>
      </c>
      <c r="D94" s="8" t="s">
        <v>1463</v>
      </c>
      <c r="E94" s="8">
        <v>0.17916579807521738</v>
      </c>
    </row>
    <row r="95" spans="1:5" ht="24.75" x14ac:dyDescent="0.25">
      <c r="A95" s="8" t="s">
        <v>338</v>
      </c>
      <c r="B95" s="8" t="s">
        <v>224</v>
      </c>
      <c r="C95" s="8" t="s">
        <v>284</v>
      </c>
      <c r="D95" s="8" t="s">
        <v>1464</v>
      </c>
      <c r="E95" s="8">
        <v>0.39108904407697642</v>
      </c>
    </row>
    <row r="96" spans="1:5" ht="24.75" x14ac:dyDescent="0.25">
      <c r="A96" s="8" t="s">
        <v>338</v>
      </c>
      <c r="B96" s="8" t="s">
        <v>224</v>
      </c>
      <c r="C96" s="8" t="s">
        <v>284</v>
      </c>
      <c r="D96" s="8" t="s">
        <v>1465</v>
      </c>
      <c r="E96" s="8">
        <v>0.33301410260035763</v>
      </c>
    </row>
    <row r="97" spans="1:5" ht="24.75" x14ac:dyDescent="0.25">
      <c r="A97" s="8" t="s">
        <v>338</v>
      </c>
      <c r="B97" s="8" t="s">
        <v>224</v>
      </c>
      <c r="C97" s="8" t="s">
        <v>284</v>
      </c>
      <c r="D97" s="8" t="s">
        <v>1466</v>
      </c>
      <c r="E97" s="8">
        <v>0.3238200195750861</v>
      </c>
    </row>
    <row r="98" spans="1:5" ht="24.75" x14ac:dyDescent="0.25">
      <c r="A98" s="8" t="s">
        <v>338</v>
      </c>
      <c r="B98" s="8" t="s">
        <v>224</v>
      </c>
      <c r="C98" s="8" t="s">
        <v>284</v>
      </c>
      <c r="D98" s="8" t="s">
        <v>1467</v>
      </c>
      <c r="E98" s="8">
        <v>0.38182883370005444</v>
      </c>
    </row>
    <row r="99" spans="1:5" ht="24.75" x14ac:dyDescent="0.25">
      <c r="A99" s="8" t="s">
        <v>338</v>
      </c>
      <c r="B99" s="8" t="s">
        <v>224</v>
      </c>
      <c r="C99" s="8" t="s">
        <v>284</v>
      </c>
      <c r="D99" s="8" t="s">
        <v>1468</v>
      </c>
      <c r="E99" s="8">
        <v>0.25935001611634828</v>
      </c>
    </row>
    <row r="100" spans="1:5" ht="24.75" x14ac:dyDescent="0.25">
      <c r="A100" s="8" t="s">
        <v>338</v>
      </c>
      <c r="B100" s="8" t="s">
        <v>224</v>
      </c>
      <c r="C100" s="8" t="s">
        <v>284</v>
      </c>
      <c r="D100" s="8" t="s">
        <v>1469</v>
      </c>
      <c r="E100" s="8">
        <v>0.25793695849319981</v>
      </c>
    </row>
    <row r="101" spans="1:5" ht="24.75" x14ac:dyDescent="0.25">
      <c r="A101" s="8" t="s">
        <v>338</v>
      </c>
      <c r="B101" s="8" t="s">
        <v>224</v>
      </c>
      <c r="C101" s="8" t="s">
        <v>284</v>
      </c>
      <c r="D101" s="8" t="s">
        <v>1470</v>
      </c>
      <c r="E101" s="8">
        <v>6.5022844815591245</v>
      </c>
    </row>
    <row r="102" spans="1:5" ht="24.75" x14ac:dyDescent="0.25">
      <c r="A102" s="8" t="s">
        <v>338</v>
      </c>
      <c r="B102" s="8" t="s">
        <v>224</v>
      </c>
      <c r="C102" s="8" t="s">
        <v>284</v>
      </c>
      <c r="D102" s="8" t="s">
        <v>1471</v>
      </c>
      <c r="E102" s="8">
        <v>0.22150481230531105</v>
      </c>
    </row>
    <row r="103" spans="1:5" ht="24.75" x14ac:dyDescent="0.25">
      <c r="A103" s="8" t="s">
        <v>338</v>
      </c>
      <c r="B103" s="8" t="s">
        <v>224</v>
      </c>
      <c r="C103" s="8" t="s">
        <v>284</v>
      </c>
      <c r="D103" s="8" t="s">
        <v>1472</v>
      </c>
      <c r="E103" s="8">
        <v>8.2646554781602183E-2</v>
      </c>
    </row>
    <row r="104" spans="1:5" ht="24.75" x14ac:dyDescent="0.25">
      <c r="A104" s="8" t="s">
        <v>338</v>
      </c>
      <c r="B104" s="8" t="s">
        <v>224</v>
      </c>
      <c r="C104" s="8" t="s">
        <v>284</v>
      </c>
      <c r="D104" s="8" t="s">
        <v>1473</v>
      </c>
      <c r="E104" s="8">
        <v>0.23532204065683054</v>
      </c>
    </row>
    <row r="105" spans="1:5" ht="24.75" x14ac:dyDescent="0.25">
      <c r="A105" s="8" t="s">
        <v>338</v>
      </c>
      <c r="B105" s="8" t="s">
        <v>224</v>
      </c>
      <c r="C105" s="8" t="s">
        <v>284</v>
      </c>
      <c r="D105" s="8" t="s">
        <v>1474</v>
      </c>
      <c r="E105" s="8">
        <v>0.2068468073351824</v>
      </c>
    </row>
    <row r="106" spans="1:5" ht="24.75" x14ac:dyDescent="0.25">
      <c r="A106" s="8" t="s">
        <v>338</v>
      </c>
      <c r="B106" s="8" t="s">
        <v>224</v>
      </c>
      <c r="C106" s="8" t="s">
        <v>284</v>
      </c>
      <c r="D106" s="8" t="s">
        <v>1475</v>
      </c>
      <c r="E106" s="8">
        <v>2.250037494858407</v>
      </c>
    </row>
    <row r="107" spans="1:5" ht="24.75" x14ac:dyDescent="0.25">
      <c r="A107" s="8" t="s">
        <v>338</v>
      </c>
      <c r="B107" s="8" t="s">
        <v>224</v>
      </c>
      <c r="C107" s="8" t="s">
        <v>284</v>
      </c>
      <c r="D107" s="8" t="s">
        <v>1476</v>
      </c>
      <c r="E107" s="8">
        <v>8.6912540101709693E-2</v>
      </c>
    </row>
    <row r="108" spans="1:5" ht="24.75" x14ac:dyDescent="0.25">
      <c r="A108" s="8" t="s">
        <v>338</v>
      </c>
      <c r="B108" s="8" t="s">
        <v>224</v>
      </c>
      <c r="C108" s="8" t="s">
        <v>284</v>
      </c>
      <c r="D108" s="8" t="s">
        <v>1477</v>
      </c>
      <c r="E108" s="8">
        <v>14.946440355247551</v>
      </c>
    </row>
    <row r="109" spans="1:5" ht="24.75" x14ac:dyDescent="0.25">
      <c r="A109" s="8" t="s">
        <v>338</v>
      </c>
      <c r="B109" s="8" t="s">
        <v>224</v>
      </c>
      <c r="C109" s="8" t="s">
        <v>284</v>
      </c>
      <c r="D109" s="8" t="s">
        <v>1478</v>
      </c>
      <c r="E109" s="8">
        <v>2.9378845593536651</v>
      </c>
    </row>
    <row r="110" spans="1:5" ht="24.75" x14ac:dyDescent="0.25">
      <c r="A110" s="8" t="s">
        <v>338</v>
      </c>
      <c r="B110" s="8" t="s">
        <v>224</v>
      </c>
      <c r="C110" s="8" t="s">
        <v>284</v>
      </c>
      <c r="D110" s="8" t="s">
        <v>1479</v>
      </c>
      <c r="E110" s="8">
        <v>5.9900322536373478</v>
      </c>
    </row>
    <row r="111" spans="1:5" ht="24.75" x14ac:dyDescent="0.25">
      <c r="A111" s="8" t="s">
        <v>338</v>
      </c>
      <c r="B111" s="8" t="s">
        <v>224</v>
      </c>
      <c r="C111" s="8" t="s">
        <v>284</v>
      </c>
      <c r="D111" s="8" t="s">
        <v>1480</v>
      </c>
      <c r="E111" s="8">
        <v>8.2692975631501362</v>
      </c>
    </row>
    <row r="112" spans="1:5" ht="24.75" x14ac:dyDescent="0.25">
      <c r="A112" s="8" t="s">
        <v>338</v>
      </c>
      <c r="B112" s="8" t="s">
        <v>224</v>
      </c>
      <c r="C112" s="8" t="s">
        <v>284</v>
      </c>
      <c r="D112" s="8" t="s">
        <v>1481</v>
      </c>
      <c r="E112" s="8">
        <v>6.6658578195044207</v>
      </c>
    </row>
    <row r="113" spans="1:5" ht="24.75" x14ac:dyDescent="0.25">
      <c r="A113" s="8" t="s">
        <v>338</v>
      </c>
      <c r="B113" s="8" t="s">
        <v>224</v>
      </c>
      <c r="C113" s="8" t="s">
        <v>284</v>
      </c>
      <c r="D113" s="8" t="s">
        <v>1482</v>
      </c>
      <c r="E113" s="8">
        <v>8.4982707685386032</v>
      </c>
    </row>
    <row r="114" spans="1:5" ht="24.75" x14ac:dyDescent="0.25">
      <c r="A114" s="8" t="s">
        <v>338</v>
      </c>
      <c r="B114" s="8" t="s">
        <v>224</v>
      </c>
      <c r="C114" s="8" t="s">
        <v>284</v>
      </c>
      <c r="D114" s="8" t="s">
        <v>1483</v>
      </c>
      <c r="E114" s="8">
        <v>0.14100777037288842</v>
      </c>
    </row>
    <row r="115" spans="1:5" ht="24.75" x14ac:dyDescent="0.25">
      <c r="A115" s="8" t="s">
        <v>338</v>
      </c>
      <c r="B115" s="8" t="s">
        <v>224</v>
      </c>
      <c r="C115" s="8" t="s">
        <v>284</v>
      </c>
      <c r="D115" s="8" t="s">
        <v>1484</v>
      </c>
      <c r="E115" s="8">
        <v>0.54341587333263519</v>
      </c>
    </row>
    <row r="116" spans="1:5" ht="24.75" x14ac:dyDescent="0.25">
      <c r="A116" s="8" t="s">
        <v>338</v>
      </c>
      <c r="B116" s="8" t="s">
        <v>224</v>
      </c>
      <c r="C116" s="8" t="s">
        <v>284</v>
      </c>
      <c r="D116" s="8" t="s">
        <v>1485</v>
      </c>
      <c r="E116" s="8">
        <v>0.53042453473667683</v>
      </c>
    </row>
    <row r="117" spans="1:5" ht="24.75" x14ac:dyDescent="0.25">
      <c r="A117" s="8" t="s">
        <v>338</v>
      </c>
      <c r="B117" s="8" t="s">
        <v>224</v>
      </c>
      <c r="C117" s="8" t="s">
        <v>284</v>
      </c>
      <c r="D117" s="8" t="s">
        <v>1486</v>
      </c>
      <c r="E117" s="8">
        <v>3.6408999686422354</v>
      </c>
    </row>
    <row r="118" spans="1:5" ht="24.75" x14ac:dyDescent="0.25">
      <c r="A118" s="8" t="s">
        <v>338</v>
      </c>
      <c r="B118" s="8" t="s">
        <v>224</v>
      </c>
      <c r="C118" s="8" t="s">
        <v>284</v>
      </c>
      <c r="D118" s="8" t="s">
        <v>1487</v>
      </c>
      <c r="E118" s="8">
        <v>0.33998577275068254</v>
      </c>
    </row>
    <row r="119" spans="1:5" ht="24.75" x14ac:dyDescent="0.25">
      <c r="A119" s="8" t="s">
        <v>338</v>
      </c>
      <c r="B119" s="8" t="s">
        <v>224</v>
      </c>
      <c r="C119" s="8" t="s">
        <v>284</v>
      </c>
      <c r="D119" s="8" t="s">
        <v>1488</v>
      </c>
      <c r="E119" s="8">
        <v>2.1413787240292499</v>
      </c>
    </row>
    <row r="120" spans="1:5" ht="24.75" x14ac:dyDescent="0.25">
      <c r="A120" s="8" t="s">
        <v>338</v>
      </c>
      <c r="B120" s="8" t="s">
        <v>224</v>
      </c>
      <c r="C120" s="8" t="s">
        <v>284</v>
      </c>
      <c r="D120" s="8" t="s">
        <v>1489</v>
      </c>
      <c r="E120" s="8">
        <v>0.33707555555426372</v>
      </c>
    </row>
    <row r="121" spans="1:5" ht="24.75" x14ac:dyDescent="0.25">
      <c r="A121" s="8" t="s">
        <v>338</v>
      </c>
      <c r="B121" s="8" t="s">
        <v>224</v>
      </c>
      <c r="C121" s="8" t="s">
        <v>284</v>
      </c>
      <c r="D121" s="8" t="s">
        <v>1490</v>
      </c>
      <c r="E121" s="8">
        <v>0.77200803719214073</v>
      </c>
    </row>
    <row r="122" spans="1:5" ht="24.75" x14ac:dyDescent="0.25">
      <c r="A122" s="8" t="s">
        <v>338</v>
      </c>
      <c r="B122" s="8" t="s">
        <v>224</v>
      </c>
      <c r="C122" s="8" t="s">
        <v>284</v>
      </c>
      <c r="D122" s="8" t="s">
        <v>1491</v>
      </c>
      <c r="E122" s="8">
        <v>5.6380666707618063</v>
      </c>
    </row>
    <row r="123" spans="1:5" ht="24.75" x14ac:dyDescent="0.25">
      <c r="A123" s="8" t="s">
        <v>338</v>
      </c>
      <c r="B123" s="8" t="s">
        <v>224</v>
      </c>
      <c r="C123" s="8" t="s">
        <v>284</v>
      </c>
      <c r="D123" s="8" t="s">
        <v>1492</v>
      </c>
      <c r="E123" s="8">
        <v>8.7706784450930914E-2</v>
      </c>
    </row>
    <row r="124" spans="1:5" ht="24.75" x14ac:dyDescent="0.25">
      <c r="A124" s="8" t="s">
        <v>338</v>
      </c>
      <c r="B124" s="8" t="s">
        <v>224</v>
      </c>
      <c r="C124" s="8" t="s">
        <v>284</v>
      </c>
      <c r="D124" s="8" t="s">
        <v>1493</v>
      </c>
      <c r="E124" s="8">
        <v>9.2364110105035007</v>
      </c>
    </row>
    <row r="125" spans="1:5" ht="24.75" x14ac:dyDescent="0.25">
      <c r="A125" s="8" t="s">
        <v>338</v>
      </c>
      <c r="B125" s="8" t="s">
        <v>224</v>
      </c>
      <c r="C125" s="8" t="s">
        <v>284</v>
      </c>
      <c r="D125" s="8" t="s">
        <v>1494</v>
      </c>
      <c r="E125" s="8">
        <v>13.938159298280514</v>
      </c>
    </row>
    <row r="126" spans="1:5" ht="24.75" x14ac:dyDescent="0.25">
      <c r="A126" s="8" t="s">
        <v>338</v>
      </c>
      <c r="B126" s="8" t="s">
        <v>224</v>
      </c>
      <c r="C126" s="8" t="s">
        <v>284</v>
      </c>
      <c r="D126" s="8" t="s">
        <v>1495</v>
      </c>
      <c r="E126" s="8">
        <v>0.23718863709279023</v>
      </c>
    </row>
    <row r="127" spans="1:5" ht="24.75" x14ac:dyDescent="0.25">
      <c r="A127" s="8" t="s">
        <v>338</v>
      </c>
      <c r="B127" s="8" t="s">
        <v>224</v>
      </c>
      <c r="C127" s="8" t="s">
        <v>284</v>
      </c>
      <c r="D127" s="8" t="s">
        <v>1496</v>
      </c>
      <c r="E127" s="8">
        <v>8.4805066519392291E-2</v>
      </c>
    </row>
    <row r="128" spans="1:5" ht="24.75" x14ac:dyDescent="0.25">
      <c r="A128" s="8" t="s">
        <v>338</v>
      </c>
      <c r="B128" s="8" t="s">
        <v>224</v>
      </c>
      <c r="C128" s="8" t="s">
        <v>284</v>
      </c>
      <c r="D128" s="8" t="s">
        <v>1497</v>
      </c>
      <c r="E128" s="8">
        <v>8.4798971508396173E-2</v>
      </c>
    </row>
    <row r="129" spans="1:5" ht="24.75" x14ac:dyDescent="0.25">
      <c r="A129" s="8" t="s">
        <v>338</v>
      </c>
      <c r="B129" s="8" t="s">
        <v>224</v>
      </c>
      <c r="C129" s="8" t="s">
        <v>284</v>
      </c>
      <c r="D129" s="8" t="s">
        <v>1498</v>
      </c>
      <c r="E129" s="8">
        <v>8.4800005960293648E-2</v>
      </c>
    </row>
    <row r="130" spans="1:5" ht="24.75" x14ac:dyDescent="0.25">
      <c r="A130" s="8" t="s">
        <v>338</v>
      </c>
      <c r="B130" s="8" t="s">
        <v>224</v>
      </c>
      <c r="C130" s="8" t="s">
        <v>284</v>
      </c>
      <c r="D130" s="8" t="s">
        <v>1499</v>
      </c>
      <c r="E130" s="8">
        <v>7.6253559679537786E-2</v>
      </c>
    </row>
    <row r="131" spans="1:5" ht="24.75" x14ac:dyDescent="0.25">
      <c r="A131" s="8" t="s">
        <v>338</v>
      </c>
      <c r="B131" s="8" t="s">
        <v>224</v>
      </c>
      <c r="C131" s="8" t="s">
        <v>284</v>
      </c>
      <c r="D131" s="8" t="s">
        <v>1500</v>
      </c>
      <c r="E131" s="8">
        <v>8.7883066151679345E-2</v>
      </c>
    </row>
    <row r="132" spans="1:5" ht="24.75" x14ac:dyDescent="0.25">
      <c r="A132" s="8" t="s">
        <v>338</v>
      </c>
      <c r="B132" s="8" t="s">
        <v>224</v>
      </c>
      <c r="C132" s="8" t="s">
        <v>284</v>
      </c>
      <c r="D132" s="8" t="s">
        <v>1501</v>
      </c>
      <c r="E132" s="8">
        <v>8.5241487926563608E-2</v>
      </c>
    </row>
    <row r="133" spans="1:5" ht="24.75" x14ac:dyDescent="0.25">
      <c r="A133" s="8" t="s">
        <v>338</v>
      </c>
      <c r="B133" s="8" t="s">
        <v>224</v>
      </c>
      <c r="C133" s="8" t="s">
        <v>284</v>
      </c>
      <c r="D133" s="8" t="s">
        <v>1502</v>
      </c>
      <c r="E133" s="8">
        <v>8.6098333447292688E-2</v>
      </c>
    </row>
    <row r="134" spans="1:5" ht="24.75" x14ac:dyDescent="0.25">
      <c r="A134" s="8" t="s">
        <v>338</v>
      </c>
      <c r="B134" s="8" t="s">
        <v>224</v>
      </c>
      <c r="C134" s="8" t="s">
        <v>284</v>
      </c>
      <c r="D134" s="8" t="s">
        <v>1503</v>
      </c>
      <c r="E134" s="8">
        <v>8.9943306501709938E-2</v>
      </c>
    </row>
    <row r="135" spans="1:5" ht="24.75" x14ac:dyDescent="0.25">
      <c r="A135" s="8" t="s">
        <v>338</v>
      </c>
      <c r="B135" s="8" t="s">
        <v>224</v>
      </c>
      <c r="C135" s="8" t="s">
        <v>284</v>
      </c>
      <c r="D135" s="8" t="s">
        <v>1504</v>
      </c>
      <c r="E135" s="8">
        <v>0.12656871213450166</v>
      </c>
    </row>
    <row r="136" spans="1:5" ht="24.75" x14ac:dyDescent="0.25">
      <c r="A136" s="8" t="s">
        <v>338</v>
      </c>
      <c r="B136" s="8" t="s">
        <v>224</v>
      </c>
      <c r="C136" s="8" t="s">
        <v>284</v>
      </c>
      <c r="D136" s="8" t="s">
        <v>1505</v>
      </c>
      <c r="E136" s="8">
        <v>0.10035550869877841</v>
      </c>
    </row>
    <row r="137" spans="1:5" ht="24.75" x14ac:dyDescent="0.25">
      <c r="A137" s="8" t="s">
        <v>338</v>
      </c>
      <c r="B137" s="8" t="s">
        <v>224</v>
      </c>
      <c r="C137" s="8" t="s">
        <v>284</v>
      </c>
      <c r="D137" s="8" t="s">
        <v>1506</v>
      </c>
      <c r="E137" s="8">
        <v>7.0363476576458153E-2</v>
      </c>
    </row>
    <row r="138" spans="1:5" ht="24.75" x14ac:dyDescent="0.25">
      <c r="A138" s="8" t="s">
        <v>338</v>
      </c>
      <c r="B138" s="8" t="s">
        <v>224</v>
      </c>
      <c r="C138" s="8" t="s">
        <v>284</v>
      </c>
      <c r="D138" s="8" t="s">
        <v>1507</v>
      </c>
      <c r="E138" s="8">
        <v>7.0363476576474016E-2</v>
      </c>
    </row>
    <row r="139" spans="1:5" ht="24.75" x14ac:dyDescent="0.25">
      <c r="A139" s="8" t="s">
        <v>338</v>
      </c>
      <c r="B139" s="8" t="s">
        <v>224</v>
      </c>
      <c r="C139" s="8" t="s">
        <v>284</v>
      </c>
      <c r="D139" s="8" t="s">
        <v>1508</v>
      </c>
      <c r="E139" s="8">
        <v>7.893003947633942E-2</v>
      </c>
    </row>
    <row r="140" spans="1:5" ht="24.75" x14ac:dyDescent="0.25">
      <c r="A140" s="8" t="s">
        <v>338</v>
      </c>
      <c r="B140" s="8" t="s">
        <v>224</v>
      </c>
      <c r="C140" s="8" t="s">
        <v>284</v>
      </c>
      <c r="D140" s="8" t="s">
        <v>1509</v>
      </c>
      <c r="E140" s="8">
        <v>7.8930039476397915E-2</v>
      </c>
    </row>
    <row r="141" spans="1:5" ht="24.75" x14ac:dyDescent="0.25">
      <c r="A141" s="8" t="s">
        <v>338</v>
      </c>
      <c r="B141" s="8" t="s">
        <v>224</v>
      </c>
      <c r="C141" s="8" t="s">
        <v>284</v>
      </c>
      <c r="D141" s="8" t="s">
        <v>1510</v>
      </c>
      <c r="E141" s="8">
        <v>8.1445508698584024E-2</v>
      </c>
    </row>
    <row r="142" spans="1:5" ht="24.75" x14ac:dyDescent="0.25">
      <c r="A142" s="8" t="s">
        <v>338</v>
      </c>
      <c r="B142" s="8" t="s">
        <v>224</v>
      </c>
      <c r="C142" s="8" t="s">
        <v>284</v>
      </c>
      <c r="D142" s="8" t="s">
        <v>1511</v>
      </c>
      <c r="E142" s="8">
        <v>0.14233859769604995</v>
      </c>
    </row>
    <row r="143" spans="1:5" ht="24.75" x14ac:dyDescent="0.25">
      <c r="A143" s="8" t="s">
        <v>338</v>
      </c>
      <c r="B143" s="8" t="s">
        <v>224</v>
      </c>
      <c r="C143" s="8" t="s">
        <v>284</v>
      </c>
      <c r="D143" s="8" t="s">
        <v>1512</v>
      </c>
      <c r="E143" s="8">
        <v>0.14329444202161506</v>
      </c>
    </row>
    <row r="144" spans="1:5" ht="24.75" x14ac:dyDescent="0.25">
      <c r="A144" s="8" t="s">
        <v>338</v>
      </c>
      <c r="B144" s="8" t="s">
        <v>224</v>
      </c>
      <c r="C144" s="8" t="s">
        <v>284</v>
      </c>
      <c r="D144" s="8" t="s">
        <v>1513</v>
      </c>
      <c r="E144" s="8">
        <v>0.20824086962714111</v>
      </c>
    </row>
    <row r="145" spans="1:5" ht="24.75" x14ac:dyDescent="0.25">
      <c r="A145" s="8" t="s">
        <v>338</v>
      </c>
      <c r="B145" s="8" t="s">
        <v>224</v>
      </c>
      <c r="C145" s="8" t="s">
        <v>284</v>
      </c>
      <c r="D145" s="8" t="s">
        <v>1514</v>
      </c>
      <c r="E145" s="8">
        <v>1.2342793814617932</v>
      </c>
    </row>
    <row r="146" spans="1:5" ht="24.75" x14ac:dyDescent="0.25">
      <c r="A146" s="8" t="s">
        <v>338</v>
      </c>
      <c r="B146" s="8" t="s">
        <v>224</v>
      </c>
      <c r="C146" s="8" t="s">
        <v>284</v>
      </c>
      <c r="D146" s="8" t="s">
        <v>1515</v>
      </c>
      <c r="E146" s="8">
        <v>8.6695508698903898E-2</v>
      </c>
    </row>
    <row r="147" spans="1:5" ht="24.75" x14ac:dyDescent="0.25">
      <c r="A147" s="8" t="s">
        <v>338</v>
      </c>
      <c r="B147" s="8" t="s">
        <v>224</v>
      </c>
      <c r="C147" s="8" t="s">
        <v>284</v>
      </c>
      <c r="D147" s="8" t="s">
        <v>1516</v>
      </c>
      <c r="E147" s="8">
        <v>0.12656871213449949</v>
      </c>
    </row>
    <row r="148" spans="1:5" ht="24.75" x14ac:dyDescent="0.25">
      <c r="A148" s="8" t="s">
        <v>338</v>
      </c>
      <c r="B148" s="8" t="s">
        <v>224</v>
      </c>
      <c r="C148" s="8" t="s">
        <v>284</v>
      </c>
      <c r="D148" s="8" t="s">
        <v>1517</v>
      </c>
      <c r="E148" s="8">
        <v>0.10035550869878063</v>
      </c>
    </row>
    <row r="149" spans="1:5" ht="24.75" x14ac:dyDescent="0.25">
      <c r="A149" s="8" t="s">
        <v>338</v>
      </c>
      <c r="B149" s="8" t="s">
        <v>224</v>
      </c>
      <c r="C149" s="8" t="s">
        <v>284</v>
      </c>
      <c r="D149" s="8" t="s">
        <v>1518</v>
      </c>
      <c r="E149" s="8">
        <v>7.0363476576458153E-2</v>
      </c>
    </row>
    <row r="150" spans="1:5" ht="24.75" x14ac:dyDescent="0.25">
      <c r="A150" s="8" t="s">
        <v>338</v>
      </c>
      <c r="B150" s="8" t="s">
        <v>224</v>
      </c>
      <c r="C150" s="8" t="s">
        <v>284</v>
      </c>
      <c r="D150" s="8" t="s">
        <v>1519</v>
      </c>
      <c r="E150" s="8">
        <v>7.0363476576474016E-2</v>
      </c>
    </row>
    <row r="151" spans="1:5" ht="24.75" x14ac:dyDescent="0.25">
      <c r="A151" s="8" t="s">
        <v>338</v>
      </c>
      <c r="B151" s="8" t="s">
        <v>224</v>
      </c>
      <c r="C151" s="8" t="s">
        <v>284</v>
      </c>
      <c r="D151" s="8" t="s">
        <v>1520</v>
      </c>
      <c r="E151" s="8">
        <v>7.893003947633942E-2</v>
      </c>
    </row>
    <row r="152" spans="1:5" ht="24.75" x14ac:dyDescent="0.25">
      <c r="A152" s="8" t="s">
        <v>338</v>
      </c>
      <c r="B152" s="8" t="s">
        <v>224</v>
      </c>
      <c r="C152" s="8" t="s">
        <v>284</v>
      </c>
      <c r="D152" s="8" t="s">
        <v>1521</v>
      </c>
      <c r="E152" s="8">
        <v>7.8930039476397915E-2</v>
      </c>
    </row>
    <row r="153" spans="1:5" ht="24.75" x14ac:dyDescent="0.25">
      <c r="A153" s="8" t="s">
        <v>338</v>
      </c>
      <c r="B153" s="8" t="s">
        <v>224</v>
      </c>
      <c r="C153" s="8" t="s">
        <v>284</v>
      </c>
      <c r="D153" s="8" t="s">
        <v>1522</v>
      </c>
      <c r="E153" s="8">
        <v>8.1445508698584024E-2</v>
      </c>
    </row>
    <row r="154" spans="1:5" ht="24.75" x14ac:dyDescent="0.25">
      <c r="A154" s="8" t="s">
        <v>338</v>
      </c>
      <c r="B154" s="8" t="s">
        <v>224</v>
      </c>
      <c r="C154" s="8" t="s">
        <v>284</v>
      </c>
      <c r="D154" s="8" t="s">
        <v>1523</v>
      </c>
      <c r="E154" s="8">
        <v>0.14233859769604995</v>
      </c>
    </row>
    <row r="155" spans="1:5" ht="24.75" x14ac:dyDescent="0.25">
      <c r="A155" s="8" t="s">
        <v>338</v>
      </c>
      <c r="B155" s="8" t="s">
        <v>224</v>
      </c>
      <c r="C155" s="8" t="s">
        <v>284</v>
      </c>
      <c r="D155" s="8" t="s">
        <v>1524</v>
      </c>
      <c r="E155" s="8">
        <v>0.14329444202161506</v>
      </c>
    </row>
    <row r="156" spans="1:5" ht="24.75" x14ac:dyDescent="0.25">
      <c r="A156" s="8" t="s">
        <v>338</v>
      </c>
      <c r="B156" s="8" t="s">
        <v>224</v>
      </c>
      <c r="C156" s="8" t="s">
        <v>284</v>
      </c>
      <c r="D156" s="8" t="s">
        <v>1525</v>
      </c>
      <c r="E156" s="8">
        <v>0.20824086962714028</v>
      </c>
    </row>
    <row r="157" spans="1:5" ht="24.75" x14ac:dyDescent="0.25">
      <c r="A157" s="8" t="s">
        <v>338</v>
      </c>
      <c r="B157" s="8" t="s">
        <v>224</v>
      </c>
      <c r="C157" s="8" t="s">
        <v>284</v>
      </c>
      <c r="D157" s="8" t="s">
        <v>1526</v>
      </c>
      <c r="E157" s="8">
        <v>1.2371895986582089</v>
      </c>
    </row>
    <row r="158" spans="1:5" ht="24.75" x14ac:dyDescent="0.25">
      <c r="A158" s="8" t="s">
        <v>338</v>
      </c>
      <c r="B158" s="8" t="s">
        <v>224</v>
      </c>
      <c r="C158" s="8" t="s">
        <v>284</v>
      </c>
      <c r="D158" s="8" t="s">
        <v>1527</v>
      </c>
      <c r="E158" s="8">
        <v>8.6695508698903898E-2</v>
      </c>
    </row>
    <row r="159" spans="1:5" ht="24.75" x14ac:dyDescent="0.25">
      <c r="A159" s="8" t="s">
        <v>338</v>
      </c>
      <c r="B159" s="8" t="s">
        <v>224</v>
      </c>
      <c r="C159" s="8" t="s">
        <v>284</v>
      </c>
      <c r="D159" s="8" t="s">
        <v>1528</v>
      </c>
      <c r="E159" s="8">
        <v>20.184651179741032</v>
      </c>
    </row>
    <row r="160" spans="1:5" ht="24.75" x14ac:dyDescent="0.25">
      <c r="A160" s="8" t="s">
        <v>338</v>
      </c>
      <c r="B160" s="8" t="s">
        <v>224</v>
      </c>
      <c r="C160" s="8" t="s">
        <v>284</v>
      </c>
      <c r="D160" s="8" t="s">
        <v>1529</v>
      </c>
      <c r="E160" s="8">
        <v>10.735030616345568</v>
      </c>
    </row>
    <row r="161" spans="1:5" ht="24.75" x14ac:dyDescent="0.25">
      <c r="A161" s="8" t="s">
        <v>338</v>
      </c>
      <c r="B161" s="8" t="s">
        <v>224</v>
      </c>
      <c r="C161" s="8" t="s">
        <v>284</v>
      </c>
      <c r="D161" s="8" t="s">
        <v>1530</v>
      </c>
      <c r="E161" s="8">
        <v>5.2822148508132209E-2</v>
      </c>
    </row>
    <row r="162" spans="1:5" ht="24.75" x14ac:dyDescent="0.25">
      <c r="A162" s="8" t="s">
        <v>338</v>
      </c>
      <c r="B162" s="8" t="s">
        <v>224</v>
      </c>
      <c r="C162" s="8" t="s">
        <v>284</v>
      </c>
      <c r="D162" s="8" t="s">
        <v>1531</v>
      </c>
      <c r="E162" s="8">
        <v>0.27575828901255239</v>
      </c>
    </row>
    <row r="163" spans="1:5" ht="24.75" x14ac:dyDescent="0.25">
      <c r="A163" s="8" t="s">
        <v>338</v>
      </c>
      <c r="B163" s="8" t="s">
        <v>224</v>
      </c>
      <c r="C163" s="8" t="s">
        <v>284</v>
      </c>
      <c r="D163" s="8" t="s">
        <v>1532</v>
      </c>
      <c r="E163" s="8">
        <v>7.4639708349511349E-2</v>
      </c>
    </row>
    <row r="164" spans="1:5" ht="24.75" x14ac:dyDescent="0.25">
      <c r="A164" s="8" t="s">
        <v>338</v>
      </c>
      <c r="B164" s="8" t="s">
        <v>224</v>
      </c>
      <c r="C164" s="8" t="s">
        <v>284</v>
      </c>
      <c r="D164" s="8" t="s">
        <v>1533</v>
      </c>
      <c r="E164" s="8">
        <v>0.25410647885156112</v>
      </c>
    </row>
    <row r="165" spans="1:5" ht="24.75" x14ac:dyDescent="0.25">
      <c r="A165" s="8" t="s">
        <v>338</v>
      </c>
      <c r="B165" s="8" t="s">
        <v>224</v>
      </c>
      <c r="C165" s="8" t="s">
        <v>284</v>
      </c>
      <c r="D165" s="8" t="s">
        <v>1534</v>
      </c>
      <c r="E165" s="8">
        <v>8.5639755998866807E-2</v>
      </c>
    </row>
    <row r="166" spans="1:5" ht="24.75" x14ac:dyDescent="0.25">
      <c r="A166" s="8" t="s">
        <v>338</v>
      </c>
      <c r="B166" s="8" t="s">
        <v>224</v>
      </c>
      <c r="C166" s="8" t="s">
        <v>284</v>
      </c>
      <c r="D166" s="8" t="s">
        <v>1535</v>
      </c>
      <c r="E166" s="8">
        <v>8.892764185267843E-2</v>
      </c>
    </row>
    <row r="167" spans="1:5" ht="24.75" x14ac:dyDescent="0.25">
      <c r="A167" s="8" t="s">
        <v>338</v>
      </c>
      <c r="B167" s="8" t="s">
        <v>224</v>
      </c>
      <c r="C167" s="8" t="s">
        <v>284</v>
      </c>
      <c r="D167" s="8" t="s">
        <v>1536</v>
      </c>
      <c r="E167" s="8">
        <v>8.4805831356247738E-2</v>
      </c>
    </row>
    <row r="168" spans="1:5" ht="24.75" x14ac:dyDescent="0.25">
      <c r="A168" s="8" t="s">
        <v>338</v>
      </c>
      <c r="B168" s="8" t="s">
        <v>224</v>
      </c>
      <c r="C168" s="8" t="s">
        <v>284</v>
      </c>
      <c r="D168" s="8" t="s">
        <v>1537</v>
      </c>
      <c r="E168" s="8">
        <v>5.2822148528452281E-2</v>
      </c>
    </row>
    <row r="169" spans="1:5" ht="24.75" x14ac:dyDescent="0.25">
      <c r="A169" s="8" t="s">
        <v>338</v>
      </c>
      <c r="B169" s="8" t="s">
        <v>224</v>
      </c>
      <c r="C169" s="8" t="s">
        <v>284</v>
      </c>
      <c r="D169" s="8" t="s">
        <v>1538</v>
      </c>
      <c r="E169" s="8">
        <v>5.282214849615164E-2</v>
      </c>
    </row>
    <row r="170" spans="1:5" ht="24.75" x14ac:dyDescent="0.25">
      <c r="A170" s="8" t="s">
        <v>338</v>
      </c>
      <c r="B170" s="8" t="s">
        <v>224</v>
      </c>
      <c r="C170" s="8" t="s">
        <v>284</v>
      </c>
      <c r="D170" s="8" t="s">
        <v>1539</v>
      </c>
      <c r="E170" s="8">
        <v>5.2822146680270569E-2</v>
      </c>
    </row>
    <row r="171" spans="1:5" ht="24.75" x14ac:dyDescent="0.25">
      <c r="A171" s="8" t="s">
        <v>338</v>
      </c>
      <c r="B171" s="8" t="s">
        <v>224</v>
      </c>
      <c r="C171" s="8" t="s">
        <v>284</v>
      </c>
      <c r="D171" s="8" t="s">
        <v>1540</v>
      </c>
      <c r="E171" s="8">
        <v>8.6186609144337067E-2</v>
      </c>
    </row>
    <row r="172" spans="1:5" ht="24.75" x14ac:dyDescent="0.25">
      <c r="A172" s="8" t="s">
        <v>338</v>
      </c>
      <c r="B172" s="8" t="s">
        <v>224</v>
      </c>
      <c r="C172" s="8" t="s">
        <v>284</v>
      </c>
      <c r="D172" s="8" t="s">
        <v>1541</v>
      </c>
      <c r="E172" s="8">
        <v>5.2810933280085792E-2</v>
      </c>
    </row>
    <row r="173" spans="1:5" ht="24.75" x14ac:dyDescent="0.25">
      <c r="A173" s="8" t="s">
        <v>338</v>
      </c>
      <c r="B173" s="8" t="s">
        <v>224</v>
      </c>
      <c r="C173" s="8" t="s">
        <v>284</v>
      </c>
      <c r="D173" s="8" t="s">
        <v>1542</v>
      </c>
      <c r="E173" s="8">
        <v>8.6999984439397396E-2</v>
      </c>
    </row>
    <row r="174" spans="1:5" ht="24.75" x14ac:dyDescent="0.25">
      <c r="A174" s="8" t="s">
        <v>338</v>
      </c>
      <c r="B174" s="8" t="s">
        <v>224</v>
      </c>
      <c r="C174" s="8" t="s">
        <v>284</v>
      </c>
      <c r="D174" s="8" t="s">
        <v>1543</v>
      </c>
      <c r="E174" s="8">
        <v>5.2822148528452212E-2</v>
      </c>
    </row>
    <row r="175" spans="1:5" ht="24.75" x14ac:dyDescent="0.25">
      <c r="A175" s="8" t="s">
        <v>338</v>
      </c>
      <c r="B175" s="8" t="s">
        <v>224</v>
      </c>
      <c r="C175" s="8" t="s">
        <v>284</v>
      </c>
      <c r="D175" s="8" t="s">
        <v>1544</v>
      </c>
      <c r="E175" s="8">
        <v>8.7000000187032689E-2</v>
      </c>
    </row>
    <row r="176" spans="1:5" ht="24.75" x14ac:dyDescent="0.25">
      <c r="A176" s="8" t="s">
        <v>338</v>
      </c>
      <c r="B176" s="8" t="s">
        <v>224</v>
      </c>
      <c r="C176" s="8" t="s">
        <v>284</v>
      </c>
      <c r="D176" s="8" t="s">
        <v>1545</v>
      </c>
      <c r="E176" s="8">
        <v>0.27565377497894972</v>
      </c>
    </row>
    <row r="177" spans="1:5" ht="24.75" x14ac:dyDescent="0.25">
      <c r="A177" s="8" t="s">
        <v>338</v>
      </c>
      <c r="B177" s="8" t="s">
        <v>224</v>
      </c>
      <c r="C177" s="8" t="s">
        <v>284</v>
      </c>
      <c r="D177" s="8" t="s">
        <v>1546</v>
      </c>
      <c r="E177" s="8">
        <v>5.3441118097329147E-2</v>
      </c>
    </row>
    <row r="178" spans="1:5" ht="24.75" x14ac:dyDescent="0.25">
      <c r="A178" s="8" t="s">
        <v>338</v>
      </c>
      <c r="B178" s="8" t="s">
        <v>224</v>
      </c>
      <c r="C178" s="8" t="s">
        <v>284</v>
      </c>
      <c r="D178" s="8" t="s">
        <v>1547</v>
      </c>
      <c r="E178" s="8">
        <v>0.26763022196251401</v>
      </c>
    </row>
    <row r="179" spans="1:5" ht="24.75" x14ac:dyDescent="0.25">
      <c r="A179" s="8" t="s">
        <v>338</v>
      </c>
      <c r="B179" s="8" t="s">
        <v>224</v>
      </c>
      <c r="C179" s="8" t="s">
        <v>284</v>
      </c>
      <c r="D179" s="8" t="s">
        <v>1548</v>
      </c>
      <c r="E179" s="8">
        <v>0.27575831193178035</v>
      </c>
    </row>
    <row r="180" spans="1:5" ht="24.75" x14ac:dyDescent="0.25">
      <c r="A180" s="8" t="s">
        <v>338</v>
      </c>
      <c r="B180" s="8" t="s">
        <v>224</v>
      </c>
      <c r="C180" s="8" t="s">
        <v>284</v>
      </c>
      <c r="D180" s="8" t="s">
        <v>1549</v>
      </c>
      <c r="E180" s="8">
        <v>0.27575836509602575</v>
      </c>
    </row>
    <row r="181" spans="1:5" ht="24.75" x14ac:dyDescent="0.25">
      <c r="A181" s="8" t="s">
        <v>338</v>
      </c>
      <c r="B181" s="8" t="s">
        <v>224</v>
      </c>
      <c r="C181" s="8" t="s">
        <v>284</v>
      </c>
      <c r="D181" s="8" t="s">
        <v>1550</v>
      </c>
      <c r="E181" s="8">
        <v>3.2060914856033742</v>
      </c>
    </row>
    <row r="182" spans="1:5" ht="24.75" x14ac:dyDescent="0.25">
      <c r="A182" s="8" t="s">
        <v>338</v>
      </c>
      <c r="B182" s="8" t="s">
        <v>224</v>
      </c>
      <c r="C182" s="8" t="s">
        <v>284</v>
      </c>
      <c r="D182" s="8" t="s">
        <v>1551</v>
      </c>
      <c r="E182" s="8">
        <v>0.43599978087725588</v>
      </c>
    </row>
    <row r="183" spans="1:5" ht="24.75" x14ac:dyDescent="0.25">
      <c r="A183" s="8" t="s">
        <v>338</v>
      </c>
      <c r="B183" s="8" t="s">
        <v>224</v>
      </c>
      <c r="C183" s="8" t="s">
        <v>284</v>
      </c>
      <c r="D183" s="8" t="s">
        <v>1552</v>
      </c>
      <c r="E183" s="8">
        <v>7.73239588447244E-2</v>
      </c>
    </row>
    <row r="184" spans="1:5" ht="24.75" x14ac:dyDescent="0.25">
      <c r="A184" s="8" t="s">
        <v>338</v>
      </c>
      <c r="B184" s="8" t="s">
        <v>224</v>
      </c>
      <c r="C184" s="8" t="s">
        <v>284</v>
      </c>
      <c r="D184" s="8" t="s">
        <v>1553</v>
      </c>
      <c r="E184" s="8">
        <v>8.4581830613905687E-2</v>
      </c>
    </row>
    <row r="185" spans="1:5" ht="24.75" x14ac:dyDescent="0.25">
      <c r="A185" s="8" t="s">
        <v>338</v>
      </c>
      <c r="B185" s="8" t="s">
        <v>224</v>
      </c>
      <c r="C185" s="8" t="s">
        <v>284</v>
      </c>
      <c r="D185" s="8" t="s">
        <v>1554</v>
      </c>
      <c r="E185" s="8">
        <v>8.4275919430854287E-2</v>
      </c>
    </row>
    <row r="186" spans="1:5" ht="24.75" x14ac:dyDescent="0.25">
      <c r="A186" s="8" t="s">
        <v>338</v>
      </c>
      <c r="B186" s="8" t="s">
        <v>224</v>
      </c>
      <c r="C186" s="8" t="s">
        <v>284</v>
      </c>
      <c r="D186" s="8" t="s">
        <v>1555</v>
      </c>
      <c r="E186" s="8">
        <v>7.4638393806736925E-2</v>
      </c>
    </row>
    <row r="187" spans="1:5" ht="24.75" x14ac:dyDescent="0.25">
      <c r="A187" s="8" t="s">
        <v>338</v>
      </c>
      <c r="B187" s="8" t="s">
        <v>224</v>
      </c>
      <c r="C187" s="8" t="s">
        <v>284</v>
      </c>
      <c r="D187" s="8" t="s">
        <v>1556</v>
      </c>
      <c r="E187" s="8">
        <v>3.1419969185683141E-2</v>
      </c>
    </row>
    <row r="188" spans="1:5" ht="24.75" x14ac:dyDescent="0.25">
      <c r="A188" s="8" t="s">
        <v>338</v>
      </c>
      <c r="B188" s="8" t="s">
        <v>224</v>
      </c>
      <c r="C188" s="8" t="s">
        <v>284</v>
      </c>
      <c r="D188" s="8" t="s">
        <v>1557</v>
      </c>
      <c r="E188" s="8">
        <v>8.0825076583483133E-2</v>
      </c>
    </row>
    <row r="189" spans="1:5" ht="24.75" x14ac:dyDescent="0.25">
      <c r="A189" s="8" t="s">
        <v>338</v>
      </c>
      <c r="B189" s="8" t="s">
        <v>224</v>
      </c>
      <c r="C189" s="8" t="s">
        <v>284</v>
      </c>
      <c r="D189" s="8" t="s">
        <v>1558</v>
      </c>
      <c r="E189" s="8">
        <v>8.6292225291544455E-2</v>
      </c>
    </row>
    <row r="190" spans="1:5" ht="24.75" x14ac:dyDescent="0.25">
      <c r="A190" s="8" t="s">
        <v>338</v>
      </c>
      <c r="B190" s="8" t="s">
        <v>224</v>
      </c>
      <c r="C190" s="8" t="s">
        <v>284</v>
      </c>
      <c r="D190" s="8" t="s">
        <v>1559</v>
      </c>
      <c r="E190" s="8">
        <v>7.2934214477180723E-2</v>
      </c>
    </row>
    <row r="191" spans="1:5" ht="24.75" x14ac:dyDescent="0.25">
      <c r="A191" s="8" t="s">
        <v>338</v>
      </c>
      <c r="B191" s="8" t="s">
        <v>224</v>
      </c>
      <c r="C191" s="8" t="s">
        <v>284</v>
      </c>
      <c r="D191" s="8" t="s">
        <v>1560</v>
      </c>
      <c r="E191" s="8">
        <v>0.11657675180466785</v>
      </c>
    </row>
    <row r="192" spans="1:5" ht="24.75" x14ac:dyDescent="0.25">
      <c r="A192" s="8" t="s">
        <v>338</v>
      </c>
      <c r="B192" s="8" t="s">
        <v>224</v>
      </c>
      <c r="C192" s="8" t="s">
        <v>284</v>
      </c>
      <c r="D192" s="8" t="s">
        <v>1561</v>
      </c>
      <c r="E192" s="8">
        <v>6.1747753721411938</v>
      </c>
    </row>
    <row r="193" spans="1:5" x14ac:dyDescent="0.25">
      <c r="A193" s="1" t="s">
        <v>198</v>
      </c>
      <c r="B193" s="1" t="s">
        <v>198</v>
      </c>
      <c r="C193" s="1">
        <f>SUBTOTAL(103,Elements13_2_231[Elemento])</f>
        <v>186</v>
      </c>
      <c r="D193" s="1" t="s">
        <v>198</v>
      </c>
      <c r="E193" s="1">
        <f>SUBTOTAL(109,Elements13_2_231[Totais:])</f>
        <v>278.59642398425359</v>
      </c>
    </row>
  </sheetData>
  <mergeCells count="3">
    <mergeCell ref="A1:E2"/>
    <mergeCell ref="A4:E4"/>
    <mergeCell ref="A5:E5"/>
  </mergeCells>
  <hyperlinks>
    <hyperlink ref="A1" location="'13.2.23'!A1" display="TUBO DE PVC RIGIDO SOLDAVEL,PARA AGUA FRIA, COM DIAMETRO DE 50MM.FORNECIMENTO" xr:uid="{00000000-0004-0000-4800-000000000000}"/>
    <hyperlink ref="B1" location="'13.2.23'!A1" display="TUBO DE PVC RIGIDO SOLDAVEL,PARA AGUA FRIA, COM DIAMETRO DE 50MM.FORNECIMENTO" xr:uid="{00000000-0004-0000-4800-000001000000}"/>
    <hyperlink ref="C1" location="'13.2.23'!A1" display="TUBO DE PVC RIGIDO SOLDAVEL,PARA AGUA FRIA, COM DIAMETRO DE 50MM.FORNECIMENTO" xr:uid="{00000000-0004-0000-4800-000002000000}"/>
    <hyperlink ref="D1" location="'13.2.23'!A1" display="TUBO DE PVC RIGIDO SOLDAVEL,PARA AGUA FRIA, COM DIAMETRO DE 50MM.FORNECIMENTO" xr:uid="{00000000-0004-0000-4800-000003000000}"/>
    <hyperlink ref="E1" location="'13.2.23'!A1" display="TUBO DE PVC RIGIDO SOLDAVEL,PARA AGUA FRIA, COM DIAMETRO DE 50MM.FORNECIMENTO" xr:uid="{00000000-0004-0000-4800-000004000000}"/>
    <hyperlink ref="A2" location="'13.2.23'!A1" display="TUBO DE PVC RIGIDO SOLDAVEL,PARA AGUA FRIA, COM DIAMETRO DE 50MM.FORNECIMENTO" xr:uid="{00000000-0004-0000-4800-000005000000}"/>
    <hyperlink ref="B2" location="'13.2.23'!A1" display="TUBO DE PVC RIGIDO SOLDAVEL,PARA AGUA FRIA, COM DIAMETRO DE 50MM.FORNECIMENTO" xr:uid="{00000000-0004-0000-4800-000006000000}"/>
    <hyperlink ref="C2" location="'13.2.23'!A1" display="TUBO DE PVC RIGIDO SOLDAVEL,PARA AGUA FRIA, COM DIAMETRO DE 50MM.FORNECIMENTO" xr:uid="{00000000-0004-0000-4800-000007000000}"/>
    <hyperlink ref="D2" location="'13.2.23'!A1" display="TUBO DE PVC RIGIDO SOLDAVEL,PARA AGUA FRIA, COM DIAMETRO DE 50MM.FORNECIMENTO" xr:uid="{00000000-0004-0000-4800-000008000000}"/>
    <hyperlink ref="E2" location="'13.2.23'!A1" display="TUBO DE PVC RIGIDO SOLDAVEL,PARA AGUA FRIA, COM DIAMETRO DE 50MM.FORNECIMENTO" xr:uid="{00000000-0004-0000-4800-000009000000}"/>
    <hyperlink ref="A4" location="'13.2.23'!A1" display="Tubulação" xr:uid="{00000000-0004-0000-4800-00000A000000}"/>
    <hyperlink ref="B4" location="'13.2.23'!A1" display="Tubulação" xr:uid="{00000000-0004-0000-4800-00000B000000}"/>
    <hyperlink ref="C4" location="'13.2.23'!A1" display="Tubulação" xr:uid="{00000000-0004-0000-4800-00000C000000}"/>
    <hyperlink ref="D4" location="'13.2.23'!A1" display="Tubulação" xr:uid="{00000000-0004-0000-4800-00000D000000}"/>
    <hyperlink ref="E4" location="'13.2.23'!A1" display="Tubulação" xr:uid="{00000000-0004-0000-4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E25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106</v>
      </c>
      <c r="B1" s="20" t="s">
        <v>106</v>
      </c>
      <c r="C1" s="20" t="s">
        <v>106</v>
      </c>
      <c r="D1" s="20" t="s">
        <v>106</v>
      </c>
      <c r="E1" s="20" t="s">
        <v>106</v>
      </c>
    </row>
    <row r="2" spans="1:5" x14ac:dyDescent="0.25">
      <c r="A2" s="20" t="s">
        <v>106</v>
      </c>
      <c r="B2" s="20" t="s">
        <v>106</v>
      </c>
      <c r="C2" s="20" t="s">
        <v>106</v>
      </c>
      <c r="D2" s="20" t="s">
        <v>106</v>
      </c>
      <c r="E2" s="20" t="s">
        <v>106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1562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1563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1564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1565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1566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1567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1568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1569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1570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1571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1572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1573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1574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1575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1576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1577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1578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1579</v>
      </c>
      <c r="E24" s="8">
        <v>1</v>
      </c>
    </row>
    <row r="25" spans="1:5" x14ac:dyDescent="0.25">
      <c r="A25" s="1" t="s">
        <v>198</v>
      </c>
      <c r="B25" s="1" t="s">
        <v>198</v>
      </c>
      <c r="C25" s="1">
        <f>SUBTOTAL(103,Elements13_2_241[Elemento])</f>
        <v>18</v>
      </c>
      <c r="D25" s="1" t="s">
        <v>198</v>
      </c>
      <c r="E25" s="1">
        <f>SUBTOTAL(109,Elements13_2_241[Totais:])</f>
        <v>18</v>
      </c>
    </row>
  </sheetData>
  <mergeCells count="3">
    <mergeCell ref="A1:E2"/>
    <mergeCell ref="A4:E4"/>
    <mergeCell ref="A5:E5"/>
  </mergeCells>
  <hyperlinks>
    <hyperlink ref="A1" location="'13.2.24'!A1" display="ADAPTADOR SOLDAVEL COM FLANGES E ANEL DE VEDACAO PARA CAIXA D'AGUA,COM DIAMETRO DE 60MMX2”.FORNECIMENTO" xr:uid="{00000000-0004-0000-4900-000000000000}"/>
    <hyperlink ref="B1" location="'13.2.24'!A1" display="ADAPTADOR SOLDAVEL COM FLANGES E ANEL DE VEDACAO PARA CAIXA D'AGUA,COM DIAMETRO DE 60MMX2”.FORNECIMENTO" xr:uid="{00000000-0004-0000-4900-000001000000}"/>
    <hyperlink ref="C1" location="'13.2.24'!A1" display="ADAPTADOR SOLDAVEL COM FLANGES E ANEL DE VEDACAO PARA CAIXA D'AGUA,COM DIAMETRO DE 60MMX2”.FORNECIMENTO" xr:uid="{00000000-0004-0000-4900-000002000000}"/>
    <hyperlink ref="D1" location="'13.2.24'!A1" display="ADAPTADOR SOLDAVEL COM FLANGES E ANEL DE VEDACAO PARA CAIXA D'AGUA,COM DIAMETRO DE 60MMX2”.FORNECIMENTO" xr:uid="{00000000-0004-0000-4900-000003000000}"/>
    <hyperlink ref="E1" location="'13.2.24'!A1" display="ADAPTADOR SOLDAVEL COM FLANGES E ANEL DE VEDACAO PARA CAIXA D'AGUA,COM DIAMETRO DE 60MMX2”.FORNECIMENTO" xr:uid="{00000000-0004-0000-4900-000004000000}"/>
    <hyperlink ref="A2" location="'13.2.24'!A1" display="ADAPTADOR SOLDAVEL COM FLANGES E ANEL DE VEDACAO PARA CAIXA D'AGUA,COM DIAMETRO DE 60MMX2”.FORNECIMENTO" xr:uid="{00000000-0004-0000-4900-000005000000}"/>
    <hyperlink ref="B2" location="'13.2.24'!A1" display="ADAPTADOR SOLDAVEL COM FLANGES E ANEL DE VEDACAO PARA CAIXA D'AGUA,COM DIAMETRO DE 60MMX2”.FORNECIMENTO" xr:uid="{00000000-0004-0000-4900-000006000000}"/>
    <hyperlink ref="C2" location="'13.2.24'!A1" display="ADAPTADOR SOLDAVEL COM FLANGES E ANEL DE VEDACAO PARA CAIXA D'AGUA,COM DIAMETRO DE 60MMX2”.FORNECIMENTO" xr:uid="{00000000-0004-0000-4900-000007000000}"/>
    <hyperlink ref="D2" location="'13.2.24'!A1" display="ADAPTADOR SOLDAVEL COM FLANGES E ANEL DE VEDACAO PARA CAIXA D'AGUA,COM DIAMETRO DE 60MMX2”.FORNECIMENTO" xr:uid="{00000000-0004-0000-4900-000008000000}"/>
    <hyperlink ref="E2" location="'13.2.24'!A1" display="ADAPTADOR SOLDAVEL COM FLANGES E ANEL DE VEDACAO PARA CAIXA D'AGUA,COM DIAMETRO DE 60MMX2”.FORNECIMENTO" xr:uid="{00000000-0004-0000-4900-000009000000}"/>
    <hyperlink ref="A4" location="'13.2.24'!A1" display="Conexões de tubo (Afastamento)" xr:uid="{00000000-0004-0000-4900-00000A000000}"/>
    <hyperlink ref="B4" location="'13.2.24'!A1" display="Conexões de tubo (Afastamento)" xr:uid="{00000000-0004-0000-4900-00000B000000}"/>
    <hyperlink ref="C4" location="'13.2.24'!A1" display="Conexões de tubo (Afastamento)" xr:uid="{00000000-0004-0000-4900-00000C000000}"/>
    <hyperlink ref="D4" location="'13.2.24'!A1" display="Conexões de tubo (Afastamento)" xr:uid="{00000000-0004-0000-4900-00000D000000}"/>
    <hyperlink ref="E4" location="'13.2.24'!A1" display="Conexões de tubo (Afastamento)" xr:uid="{00000000-0004-0000-4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E10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109</v>
      </c>
      <c r="B1" s="20" t="s">
        <v>109</v>
      </c>
      <c r="C1" s="20" t="s">
        <v>109</v>
      </c>
      <c r="D1" s="20" t="s">
        <v>109</v>
      </c>
      <c r="E1" s="20" t="s">
        <v>109</v>
      </c>
    </row>
    <row r="2" spans="1:5" x14ac:dyDescent="0.25">
      <c r="A2" s="20" t="s">
        <v>109</v>
      </c>
      <c r="B2" s="20" t="s">
        <v>109</v>
      </c>
      <c r="C2" s="20" t="s">
        <v>109</v>
      </c>
      <c r="D2" s="20" t="s">
        <v>109</v>
      </c>
      <c r="E2" s="20" t="s">
        <v>109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1580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1581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1582</v>
      </c>
      <c r="E9" s="8">
        <v>1</v>
      </c>
    </row>
    <row r="10" spans="1:5" x14ac:dyDescent="0.25">
      <c r="A10" s="1" t="s">
        <v>198</v>
      </c>
      <c r="B10" s="1" t="s">
        <v>198</v>
      </c>
      <c r="C10" s="1">
        <f>SUBTOTAL(103,Elements13_2_251[Elemento])</f>
        <v>3</v>
      </c>
      <c r="D10" s="1" t="s">
        <v>198</v>
      </c>
      <c r="E10" s="1">
        <f>SUBTOTAL(109,Elements13_2_251[Totais:])</f>
        <v>3</v>
      </c>
    </row>
  </sheetData>
  <mergeCells count="3">
    <mergeCell ref="A1:E2"/>
    <mergeCell ref="A4:E4"/>
    <mergeCell ref="A5:E5"/>
  </mergeCells>
  <hyperlinks>
    <hyperlink ref="A1" location="'13.2.25'!A1" display="CURVA DE TRANSPOSIÇÃO, PVC, SOLDÁVEL, DN 25MM, INSTALADO EM RAMAL DE DISTRIBUIÇÃO DE ÁGUA   FORNECIMENTO E INSTALAÇÃO. AF_06/2022" xr:uid="{00000000-0004-0000-4A00-000000000000}"/>
    <hyperlink ref="B1" location="'13.2.25'!A1" display="CURVA DE TRANSPOSIÇÃO, PVC, SOLDÁVEL, DN 25MM, INSTALADO EM RAMAL DE DISTRIBUIÇÃO DE ÁGUA   FORNECIMENTO E INSTALAÇÃO. AF_06/2022" xr:uid="{00000000-0004-0000-4A00-000001000000}"/>
    <hyperlink ref="C1" location="'13.2.25'!A1" display="CURVA DE TRANSPOSIÇÃO, PVC, SOLDÁVEL, DN 25MM, INSTALADO EM RAMAL DE DISTRIBUIÇÃO DE ÁGUA   FORNECIMENTO E INSTALAÇÃO. AF_06/2022" xr:uid="{00000000-0004-0000-4A00-000002000000}"/>
    <hyperlink ref="D1" location="'13.2.25'!A1" display="CURVA DE TRANSPOSIÇÃO, PVC, SOLDÁVEL, DN 25MM, INSTALADO EM RAMAL DE DISTRIBUIÇÃO DE ÁGUA   FORNECIMENTO E INSTALAÇÃO. AF_06/2022" xr:uid="{00000000-0004-0000-4A00-000003000000}"/>
    <hyperlink ref="E1" location="'13.2.25'!A1" display="CURVA DE TRANSPOSIÇÃO, PVC, SOLDÁVEL, DN 25MM, INSTALADO EM RAMAL DE DISTRIBUIÇÃO DE ÁGUA   FORNECIMENTO E INSTALAÇÃO. AF_06/2022" xr:uid="{00000000-0004-0000-4A00-000004000000}"/>
    <hyperlink ref="A2" location="'13.2.25'!A1" display="CURVA DE TRANSPOSIÇÃO, PVC, SOLDÁVEL, DN 25MM, INSTALADO EM RAMAL DE DISTRIBUIÇÃO DE ÁGUA   FORNECIMENTO E INSTALAÇÃO. AF_06/2022" xr:uid="{00000000-0004-0000-4A00-000005000000}"/>
    <hyperlink ref="B2" location="'13.2.25'!A1" display="CURVA DE TRANSPOSIÇÃO, PVC, SOLDÁVEL, DN 25MM, INSTALADO EM RAMAL DE DISTRIBUIÇÃO DE ÁGUA   FORNECIMENTO E INSTALAÇÃO. AF_06/2022" xr:uid="{00000000-0004-0000-4A00-000006000000}"/>
    <hyperlink ref="C2" location="'13.2.25'!A1" display="CURVA DE TRANSPOSIÇÃO, PVC, SOLDÁVEL, DN 25MM, INSTALADO EM RAMAL DE DISTRIBUIÇÃO DE ÁGUA   FORNECIMENTO E INSTALAÇÃO. AF_06/2022" xr:uid="{00000000-0004-0000-4A00-000007000000}"/>
    <hyperlink ref="D2" location="'13.2.25'!A1" display="CURVA DE TRANSPOSIÇÃO, PVC, SOLDÁVEL, DN 25MM, INSTALADO EM RAMAL DE DISTRIBUIÇÃO DE ÁGUA   FORNECIMENTO E INSTALAÇÃO. AF_06/2022" xr:uid="{00000000-0004-0000-4A00-000008000000}"/>
    <hyperlink ref="E2" location="'13.2.25'!A1" display="CURVA DE TRANSPOSIÇÃO, PVC, SOLDÁVEL, DN 25MM, INSTALADO EM RAMAL DE DISTRIBUIÇÃO DE ÁGUA   FORNECIMENTO E INSTALAÇÃO. AF_06/2022" xr:uid="{00000000-0004-0000-4A00-000009000000}"/>
    <hyperlink ref="A4" location="'13.2.25'!A1" display="Conexões de tubo (Afastamento)" xr:uid="{00000000-0004-0000-4A00-00000A000000}"/>
    <hyperlink ref="B4" location="'13.2.25'!A1" display="Conexões de tubo (Afastamento)" xr:uid="{00000000-0004-0000-4A00-00000B000000}"/>
    <hyperlink ref="C4" location="'13.2.25'!A1" display="Conexões de tubo (Afastamento)" xr:uid="{00000000-0004-0000-4A00-00000C000000}"/>
    <hyperlink ref="D4" location="'13.2.25'!A1" display="Conexões de tubo (Afastamento)" xr:uid="{00000000-0004-0000-4A00-00000D000000}"/>
    <hyperlink ref="E4" location="'13.2.25'!A1" display="Conexões de tubo (Afastamento)" xr:uid="{00000000-0004-0000-4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E1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112</v>
      </c>
      <c r="B1" s="20" t="s">
        <v>112</v>
      </c>
      <c r="C1" s="20" t="s">
        <v>112</v>
      </c>
      <c r="D1" s="20" t="s">
        <v>112</v>
      </c>
      <c r="E1" s="20" t="s">
        <v>112</v>
      </c>
    </row>
    <row r="2" spans="1:5" x14ac:dyDescent="0.25">
      <c r="A2" s="20" t="s">
        <v>112</v>
      </c>
      <c r="B2" s="20" t="s">
        <v>112</v>
      </c>
      <c r="C2" s="20" t="s">
        <v>112</v>
      </c>
      <c r="D2" s="20" t="s">
        <v>112</v>
      </c>
      <c r="E2" s="20" t="s">
        <v>112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1583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1584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1585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1586</v>
      </c>
      <c r="E10" s="8">
        <v>1</v>
      </c>
    </row>
    <row r="11" spans="1:5" x14ac:dyDescent="0.25">
      <c r="A11" s="1" t="s">
        <v>198</v>
      </c>
      <c r="B11" s="1" t="s">
        <v>198</v>
      </c>
      <c r="C11" s="1">
        <f>SUBTOTAL(103,Elements13_2_261[Elemento])</f>
        <v>4</v>
      </c>
      <c r="D11" s="1" t="s">
        <v>198</v>
      </c>
      <c r="E11" s="1">
        <f>SUBTOTAL(109,Elements13_2_261[Totais:])</f>
        <v>4</v>
      </c>
    </row>
  </sheetData>
  <mergeCells count="3">
    <mergeCell ref="A1:E2"/>
    <mergeCell ref="A4:E4"/>
    <mergeCell ref="A5:E5"/>
  </mergeCells>
  <hyperlinks>
    <hyperlink ref="A1" location="'13.2.26'!A1" display="BUCHA DE REDUCAO SOLDAVEL LONGA,COM DIAMETRO DE 60MMX32MM.FO RNECIMENTO" xr:uid="{00000000-0004-0000-4B00-000000000000}"/>
    <hyperlink ref="B1" location="'13.2.26'!A1" display="BUCHA DE REDUCAO SOLDAVEL LONGA,COM DIAMETRO DE 60MMX32MM.FO RNECIMENTO" xr:uid="{00000000-0004-0000-4B00-000001000000}"/>
    <hyperlink ref="C1" location="'13.2.26'!A1" display="BUCHA DE REDUCAO SOLDAVEL LONGA,COM DIAMETRO DE 60MMX32MM.FO RNECIMENTO" xr:uid="{00000000-0004-0000-4B00-000002000000}"/>
    <hyperlink ref="D1" location="'13.2.26'!A1" display="BUCHA DE REDUCAO SOLDAVEL LONGA,COM DIAMETRO DE 60MMX32MM.FO RNECIMENTO" xr:uid="{00000000-0004-0000-4B00-000003000000}"/>
    <hyperlink ref="E1" location="'13.2.26'!A1" display="BUCHA DE REDUCAO SOLDAVEL LONGA,COM DIAMETRO DE 60MMX32MM.FO RNECIMENTO" xr:uid="{00000000-0004-0000-4B00-000004000000}"/>
    <hyperlink ref="A2" location="'13.2.26'!A1" display="BUCHA DE REDUCAO SOLDAVEL LONGA,COM DIAMETRO DE 60MMX32MM.FO RNECIMENTO" xr:uid="{00000000-0004-0000-4B00-000005000000}"/>
    <hyperlink ref="B2" location="'13.2.26'!A1" display="BUCHA DE REDUCAO SOLDAVEL LONGA,COM DIAMETRO DE 60MMX32MM.FO RNECIMENTO" xr:uid="{00000000-0004-0000-4B00-000006000000}"/>
    <hyperlink ref="C2" location="'13.2.26'!A1" display="BUCHA DE REDUCAO SOLDAVEL LONGA,COM DIAMETRO DE 60MMX32MM.FO RNECIMENTO" xr:uid="{00000000-0004-0000-4B00-000007000000}"/>
    <hyperlink ref="D2" location="'13.2.26'!A1" display="BUCHA DE REDUCAO SOLDAVEL LONGA,COM DIAMETRO DE 60MMX32MM.FO RNECIMENTO" xr:uid="{00000000-0004-0000-4B00-000008000000}"/>
    <hyperlink ref="E2" location="'13.2.26'!A1" display="BUCHA DE REDUCAO SOLDAVEL LONGA,COM DIAMETRO DE 60MMX32MM.FO RNECIMENTO" xr:uid="{00000000-0004-0000-4B00-000009000000}"/>
    <hyperlink ref="A4" location="'13.2.26'!A1" display="Conexões de tubo (Afastamento)" xr:uid="{00000000-0004-0000-4B00-00000A000000}"/>
    <hyperlink ref="B4" location="'13.2.26'!A1" display="Conexões de tubo (Afastamento)" xr:uid="{00000000-0004-0000-4B00-00000B000000}"/>
    <hyperlink ref="C4" location="'13.2.26'!A1" display="Conexões de tubo (Afastamento)" xr:uid="{00000000-0004-0000-4B00-00000C000000}"/>
    <hyperlink ref="D4" location="'13.2.26'!A1" display="Conexões de tubo (Afastamento)" xr:uid="{00000000-0004-0000-4B00-00000D000000}"/>
    <hyperlink ref="E4" location="'13.2.26'!A1" display="Conexões de tubo (Afastamento)" xr:uid="{00000000-0004-0000-4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E13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115</v>
      </c>
      <c r="B1" s="20" t="s">
        <v>115</v>
      </c>
      <c r="C1" s="20" t="s">
        <v>115</v>
      </c>
      <c r="D1" s="20" t="s">
        <v>115</v>
      </c>
      <c r="E1" s="20" t="s">
        <v>115</v>
      </c>
    </row>
    <row r="2" spans="1:5" x14ac:dyDescent="0.25">
      <c r="A2" s="20" t="s">
        <v>115</v>
      </c>
      <c r="B2" s="20" t="s">
        <v>115</v>
      </c>
      <c r="C2" s="20" t="s">
        <v>115</v>
      </c>
      <c r="D2" s="20" t="s">
        <v>115</v>
      </c>
      <c r="E2" s="20" t="s">
        <v>115</v>
      </c>
    </row>
    <row r="4" spans="1:5" x14ac:dyDescent="0.25">
      <c r="A4" s="15" t="s">
        <v>270</v>
      </c>
      <c r="B4" s="15" t="s">
        <v>270</v>
      </c>
      <c r="C4" s="15" t="s">
        <v>270</v>
      </c>
      <c r="D4" s="15" t="s">
        <v>270</v>
      </c>
      <c r="E4" s="15" t="s">
        <v>270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296</v>
      </c>
      <c r="D7" s="8" t="s">
        <v>1587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296</v>
      </c>
      <c r="D8" s="8" t="s">
        <v>1588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296</v>
      </c>
      <c r="D9" s="8" t="s">
        <v>1589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296</v>
      </c>
      <c r="D10" s="8" t="s">
        <v>1590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296</v>
      </c>
      <c r="D11" s="8" t="s">
        <v>1591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296</v>
      </c>
      <c r="D12" s="8" t="s">
        <v>1592</v>
      </c>
      <c r="E12" s="8">
        <v>1</v>
      </c>
    </row>
    <row r="13" spans="1:5" x14ac:dyDescent="0.25">
      <c r="A13" s="1" t="s">
        <v>198</v>
      </c>
      <c r="B13" s="1" t="s">
        <v>198</v>
      </c>
      <c r="C13" s="1">
        <f>SUBTOTAL(103,Elements13_2_271[Elemento])</f>
        <v>6</v>
      </c>
      <c r="D13" s="1" t="s">
        <v>198</v>
      </c>
      <c r="E13" s="1">
        <f>SUBTOTAL(109,Elements13_2_271[Totais:])</f>
        <v>6</v>
      </c>
    </row>
  </sheetData>
  <mergeCells count="3">
    <mergeCell ref="A1:E2"/>
    <mergeCell ref="A4:E4"/>
    <mergeCell ref="A5:E5"/>
  </mergeCells>
  <hyperlinks>
    <hyperlink ref="A1" location="'13.2.27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4C00-000000000000}"/>
    <hyperlink ref="B1" location="'13.2.27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4C00-000001000000}"/>
    <hyperlink ref="C1" location="'13.2.27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4C00-000002000000}"/>
    <hyperlink ref="D1" location="'13.2.27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4C00-000003000000}"/>
    <hyperlink ref="E1" location="'13.2.27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4C00-000004000000}"/>
    <hyperlink ref="A2" location="'13.2.27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4C00-000005000000}"/>
    <hyperlink ref="B2" location="'13.2.27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4C00-000006000000}"/>
    <hyperlink ref="C2" location="'13.2.27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4C00-000007000000}"/>
    <hyperlink ref="D2" location="'13.2.27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4C00-000008000000}"/>
    <hyperlink ref="E2" location="'13.2.27'!A1" display="RESERVATORIO APOIADO PARA ARMAZENAMENTO DE AGUA POTAVEL OU P ARA APROVEITAMENTO DE AGUA DA CHUVA AAC,EM FIBRA DE VIDRO OU POLIETILENO,COM CAPACIDADE EM TORNO DE 3000L,INCLUSIVE TAMP A DE VEDACAO COM ESCOTILHA E FIXADORES,CONFORME ABNT NBR 155 27,12217 E 8" xr:uid="{00000000-0004-0000-4C00-000009000000}"/>
    <hyperlink ref="A4" location="'13.2.27'!A1" display="Peças hidrossanitárias (Afastamento Adaptador)" xr:uid="{00000000-0004-0000-4C00-00000A000000}"/>
    <hyperlink ref="B4" location="'13.2.27'!A1" display="Peças hidrossanitárias (Afastamento Adaptador)" xr:uid="{00000000-0004-0000-4C00-00000B000000}"/>
    <hyperlink ref="C4" location="'13.2.27'!A1" display="Peças hidrossanitárias (Afastamento Adaptador)" xr:uid="{00000000-0004-0000-4C00-00000C000000}"/>
    <hyperlink ref="D4" location="'13.2.27'!A1" display="Peças hidrossanitárias (Afastamento Adaptador)" xr:uid="{00000000-0004-0000-4C00-00000D000000}"/>
    <hyperlink ref="E4" location="'13.2.27'!A1" display="Peças hidrossanitárias (Afastamento Adaptador)" xr:uid="{00000000-0004-0000-4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dimension ref="A1:E3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119</v>
      </c>
      <c r="B1" s="20" t="s">
        <v>119</v>
      </c>
      <c r="C1" s="20" t="s">
        <v>119</v>
      </c>
      <c r="D1" s="20" t="s">
        <v>119</v>
      </c>
      <c r="E1" s="20" t="s">
        <v>119</v>
      </c>
    </row>
    <row r="2" spans="1:5" x14ac:dyDescent="0.25">
      <c r="A2" s="20" t="s">
        <v>119</v>
      </c>
      <c r="B2" s="20" t="s">
        <v>119</v>
      </c>
      <c r="C2" s="20" t="s">
        <v>119</v>
      </c>
      <c r="D2" s="20" t="s">
        <v>119</v>
      </c>
      <c r="E2" s="20" t="s">
        <v>119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1593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1594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1595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1596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1597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1598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1599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1600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1601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1602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1603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1604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1605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1606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1607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1608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1609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1610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205</v>
      </c>
      <c r="D25" s="8" t="s">
        <v>1611</v>
      </c>
      <c r="E25" s="8">
        <v>1</v>
      </c>
    </row>
    <row r="26" spans="1:5" ht="24.75" x14ac:dyDescent="0.25">
      <c r="A26" s="8" t="s">
        <v>338</v>
      </c>
      <c r="B26" s="8" t="s">
        <v>224</v>
      </c>
      <c r="C26" s="8" t="s">
        <v>205</v>
      </c>
      <c r="D26" s="8" t="s">
        <v>1612</v>
      </c>
      <c r="E26" s="8">
        <v>1</v>
      </c>
    </row>
    <row r="27" spans="1:5" ht="24.75" x14ac:dyDescent="0.25">
      <c r="A27" s="8" t="s">
        <v>338</v>
      </c>
      <c r="B27" s="8" t="s">
        <v>224</v>
      </c>
      <c r="C27" s="8" t="s">
        <v>205</v>
      </c>
      <c r="D27" s="8" t="s">
        <v>1613</v>
      </c>
      <c r="E27" s="8">
        <v>1</v>
      </c>
    </row>
    <row r="28" spans="1:5" ht="24.75" x14ac:dyDescent="0.25">
      <c r="A28" s="8" t="s">
        <v>338</v>
      </c>
      <c r="B28" s="8" t="s">
        <v>224</v>
      </c>
      <c r="C28" s="8" t="s">
        <v>205</v>
      </c>
      <c r="D28" s="8" t="s">
        <v>1614</v>
      </c>
      <c r="E28" s="8">
        <v>1</v>
      </c>
    </row>
    <row r="29" spans="1:5" ht="24.75" x14ac:dyDescent="0.25">
      <c r="A29" s="8" t="s">
        <v>338</v>
      </c>
      <c r="B29" s="8" t="s">
        <v>224</v>
      </c>
      <c r="C29" s="8" t="s">
        <v>205</v>
      </c>
      <c r="D29" s="8" t="s">
        <v>1615</v>
      </c>
      <c r="E29" s="8">
        <v>1</v>
      </c>
    </row>
    <row r="30" spans="1:5" ht="24.75" x14ac:dyDescent="0.25">
      <c r="A30" s="8" t="s">
        <v>338</v>
      </c>
      <c r="B30" s="8" t="s">
        <v>224</v>
      </c>
      <c r="C30" s="8" t="s">
        <v>205</v>
      </c>
      <c r="D30" s="8" t="s">
        <v>1616</v>
      </c>
      <c r="E30" s="8">
        <v>1</v>
      </c>
    </row>
    <row r="31" spans="1:5" x14ac:dyDescent="0.25">
      <c r="A31" s="1" t="s">
        <v>198</v>
      </c>
      <c r="B31" s="1" t="s">
        <v>198</v>
      </c>
      <c r="C31" s="1">
        <f>SUBTOTAL(103,Elements13_2_281[Elemento])</f>
        <v>24</v>
      </c>
      <c r="D31" s="1" t="s">
        <v>198</v>
      </c>
      <c r="E31" s="1">
        <f>SUBTOTAL(109,Elements13_2_281[Totais:])</f>
        <v>24</v>
      </c>
    </row>
  </sheetData>
  <mergeCells count="3">
    <mergeCell ref="A1:E2"/>
    <mergeCell ref="A4:E4"/>
    <mergeCell ref="A5:E5"/>
  </mergeCells>
  <hyperlinks>
    <hyperlink ref="A1" location="'13.2.28'!A1" display="CURVA 90º SOLDAVEL,COM DIAMETRO DE 60MM.FORNECIMENTO" xr:uid="{00000000-0004-0000-4D00-000000000000}"/>
    <hyperlink ref="B1" location="'13.2.28'!A1" display="CURVA 90º SOLDAVEL,COM DIAMETRO DE 60MM.FORNECIMENTO" xr:uid="{00000000-0004-0000-4D00-000001000000}"/>
    <hyperlink ref="C1" location="'13.2.28'!A1" display="CURVA 90º SOLDAVEL,COM DIAMETRO DE 60MM.FORNECIMENTO" xr:uid="{00000000-0004-0000-4D00-000002000000}"/>
    <hyperlink ref="D1" location="'13.2.28'!A1" display="CURVA 90º SOLDAVEL,COM DIAMETRO DE 60MM.FORNECIMENTO" xr:uid="{00000000-0004-0000-4D00-000003000000}"/>
    <hyperlink ref="E1" location="'13.2.28'!A1" display="CURVA 90º SOLDAVEL,COM DIAMETRO DE 60MM.FORNECIMENTO" xr:uid="{00000000-0004-0000-4D00-000004000000}"/>
    <hyperlink ref="A2" location="'13.2.28'!A1" display="CURVA 90º SOLDAVEL,COM DIAMETRO DE 60MM.FORNECIMENTO" xr:uid="{00000000-0004-0000-4D00-000005000000}"/>
    <hyperlink ref="B2" location="'13.2.28'!A1" display="CURVA 90º SOLDAVEL,COM DIAMETRO DE 60MM.FORNECIMENTO" xr:uid="{00000000-0004-0000-4D00-000006000000}"/>
    <hyperlink ref="C2" location="'13.2.28'!A1" display="CURVA 90º SOLDAVEL,COM DIAMETRO DE 60MM.FORNECIMENTO" xr:uid="{00000000-0004-0000-4D00-000007000000}"/>
    <hyperlink ref="D2" location="'13.2.28'!A1" display="CURVA 90º SOLDAVEL,COM DIAMETRO DE 60MM.FORNECIMENTO" xr:uid="{00000000-0004-0000-4D00-000008000000}"/>
    <hyperlink ref="E2" location="'13.2.28'!A1" display="CURVA 90º SOLDAVEL,COM DIAMETRO DE 60MM.FORNECIMENTO" xr:uid="{00000000-0004-0000-4D00-000009000000}"/>
    <hyperlink ref="A4" location="'13.2.28'!A1" display="Conexões de tubo (Afastamento)" xr:uid="{00000000-0004-0000-4D00-00000A000000}"/>
    <hyperlink ref="B4" location="'13.2.28'!A1" display="Conexões de tubo (Afastamento)" xr:uid="{00000000-0004-0000-4D00-00000B000000}"/>
    <hyperlink ref="C4" location="'13.2.28'!A1" display="Conexões de tubo (Afastamento)" xr:uid="{00000000-0004-0000-4D00-00000C000000}"/>
    <hyperlink ref="D4" location="'13.2.28'!A1" display="Conexões de tubo (Afastamento)" xr:uid="{00000000-0004-0000-4D00-00000D000000}"/>
    <hyperlink ref="E4" location="'13.2.28'!A1" display="Conexões de tubo (Afastamento)" xr:uid="{00000000-0004-0000-4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dimension ref="A1:E13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123</v>
      </c>
      <c r="B1" s="20" t="s">
        <v>123</v>
      </c>
      <c r="C1" s="20" t="s">
        <v>123</v>
      </c>
      <c r="D1" s="20" t="s">
        <v>123</v>
      </c>
      <c r="E1" s="20" t="s">
        <v>123</v>
      </c>
    </row>
    <row r="2" spans="1:5" x14ac:dyDescent="0.25">
      <c r="A2" s="20" t="s">
        <v>123</v>
      </c>
      <c r="B2" s="20" t="s">
        <v>123</v>
      </c>
      <c r="C2" s="20" t="s">
        <v>123</v>
      </c>
      <c r="D2" s="20" t="s">
        <v>123</v>
      </c>
      <c r="E2" s="20" t="s">
        <v>123</v>
      </c>
    </row>
    <row r="4" spans="1:5" x14ac:dyDescent="0.25">
      <c r="A4" s="15" t="s">
        <v>270</v>
      </c>
      <c r="B4" s="15" t="s">
        <v>270</v>
      </c>
      <c r="C4" s="15" t="s">
        <v>270</v>
      </c>
      <c r="D4" s="15" t="s">
        <v>270</v>
      </c>
      <c r="E4" s="15" t="s">
        <v>270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296</v>
      </c>
      <c r="D7" s="8" t="s">
        <v>1587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296</v>
      </c>
      <c r="D8" s="8" t="s">
        <v>1588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296</v>
      </c>
      <c r="D9" s="8" t="s">
        <v>1589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296</v>
      </c>
      <c r="D10" s="8" t="s">
        <v>1590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296</v>
      </c>
      <c r="D11" s="8" t="s">
        <v>1591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296</v>
      </c>
      <c r="D12" s="8" t="s">
        <v>1592</v>
      </c>
      <c r="E12" s="8">
        <v>1</v>
      </c>
    </row>
    <row r="13" spans="1:5" x14ac:dyDescent="0.25">
      <c r="A13" s="1" t="s">
        <v>198</v>
      </c>
      <c r="B13" s="1" t="s">
        <v>198</v>
      </c>
      <c r="C13" s="1">
        <f>SUBTOTAL(103,Elements13_2_291[Elemento])</f>
        <v>6</v>
      </c>
      <c r="D13" s="1" t="s">
        <v>198</v>
      </c>
      <c r="E13" s="1">
        <f>SUBTOTAL(109,Elements13_2_291[Totais:])</f>
        <v>6</v>
      </c>
    </row>
  </sheetData>
  <mergeCells count="3">
    <mergeCell ref="A1:E2"/>
    <mergeCell ref="A4:E4"/>
    <mergeCell ref="A5:E5"/>
  </mergeCells>
  <hyperlinks>
    <hyperlink ref="A1" location="'13.2.29'!A1" display="COLOCACAO DE RESERVATORIO DE FRIBROCIMENTO,FIBRA DE VIDRO OU SEMELHANTE DE 3.000L,INCLUSIVE PECAS DE APOIO EM ALVENARIA E MADEIRA SERRADA,E FLANGES DE LIGACAO HIDRAULICA,EXCLUSIVE FORNECIMENTO DO RESERVATORIO" xr:uid="{00000000-0004-0000-4E00-000000000000}"/>
    <hyperlink ref="B1" location="'13.2.29'!A1" display="COLOCACAO DE RESERVATORIO DE FRIBROCIMENTO,FIBRA DE VIDRO OU SEMELHANTE DE 3.000L,INCLUSIVE PECAS DE APOIO EM ALVENARIA E MADEIRA SERRADA,E FLANGES DE LIGACAO HIDRAULICA,EXCLUSIVE FORNECIMENTO DO RESERVATORIO" xr:uid="{00000000-0004-0000-4E00-000001000000}"/>
    <hyperlink ref="C1" location="'13.2.29'!A1" display="COLOCACAO DE RESERVATORIO DE FRIBROCIMENTO,FIBRA DE VIDRO OU SEMELHANTE DE 3.000L,INCLUSIVE PECAS DE APOIO EM ALVENARIA E MADEIRA SERRADA,E FLANGES DE LIGACAO HIDRAULICA,EXCLUSIVE FORNECIMENTO DO RESERVATORIO" xr:uid="{00000000-0004-0000-4E00-000002000000}"/>
    <hyperlink ref="D1" location="'13.2.29'!A1" display="COLOCACAO DE RESERVATORIO DE FRIBROCIMENTO,FIBRA DE VIDRO OU SEMELHANTE DE 3.000L,INCLUSIVE PECAS DE APOIO EM ALVENARIA E MADEIRA SERRADA,E FLANGES DE LIGACAO HIDRAULICA,EXCLUSIVE FORNECIMENTO DO RESERVATORIO" xr:uid="{00000000-0004-0000-4E00-000003000000}"/>
    <hyperlink ref="E1" location="'13.2.29'!A1" display="COLOCACAO DE RESERVATORIO DE FRIBROCIMENTO,FIBRA DE VIDRO OU SEMELHANTE DE 3.000L,INCLUSIVE PECAS DE APOIO EM ALVENARIA E MADEIRA SERRADA,E FLANGES DE LIGACAO HIDRAULICA,EXCLUSIVE FORNECIMENTO DO RESERVATORIO" xr:uid="{00000000-0004-0000-4E00-000004000000}"/>
    <hyperlink ref="A2" location="'13.2.29'!A1" display="COLOCACAO DE RESERVATORIO DE FRIBROCIMENTO,FIBRA DE VIDRO OU SEMELHANTE DE 3.000L,INCLUSIVE PECAS DE APOIO EM ALVENARIA E MADEIRA SERRADA,E FLANGES DE LIGACAO HIDRAULICA,EXCLUSIVE FORNECIMENTO DO RESERVATORIO" xr:uid="{00000000-0004-0000-4E00-000005000000}"/>
    <hyperlink ref="B2" location="'13.2.29'!A1" display="COLOCACAO DE RESERVATORIO DE FRIBROCIMENTO,FIBRA DE VIDRO OU SEMELHANTE DE 3.000L,INCLUSIVE PECAS DE APOIO EM ALVENARIA E MADEIRA SERRADA,E FLANGES DE LIGACAO HIDRAULICA,EXCLUSIVE FORNECIMENTO DO RESERVATORIO" xr:uid="{00000000-0004-0000-4E00-000006000000}"/>
    <hyperlink ref="C2" location="'13.2.29'!A1" display="COLOCACAO DE RESERVATORIO DE FRIBROCIMENTO,FIBRA DE VIDRO OU SEMELHANTE DE 3.000L,INCLUSIVE PECAS DE APOIO EM ALVENARIA E MADEIRA SERRADA,E FLANGES DE LIGACAO HIDRAULICA,EXCLUSIVE FORNECIMENTO DO RESERVATORIO" xr:uid="{00000000-0004-0000-4E00-000007000000}"/>
    <hyperlink ref="D2" location="'13.2.29'!A1" display="COLOCACAO DE RESERVATORIO DE FRIBROCIMENTO,FIBRA DE VIDRO OU SEMELHANTE DE 3.000L,INCLUSIVE PECAS DE APOIO EM ALVENARIA E MADEIRA SERRADA,E FLANGES DE LIGACAO HIDRAULICA,EXCLUSIVE FORNECIMENTO DO RESERVATORIO" xr:uid="{00000000-0004-0000-4E00-000008000000}"/>
    <hyperlink ref="E2" location="'13.2.29'!A1" display="COLOCACAO DE RESERVATORIO DE FRIBROCIMENTO,FIBRA DE VIDRO OU SEMELHANTE DE 3.000L,INCLUSIVE PECAS DE APOIO EM ALVENARIA E MADEIRA SERRADA,E FLANGES DE LIGACAO HIDRAULICA,EXCLUSIVE FORNECIMENTO DO RESERVATORIO" xr:uid="{00000000-0004-0000-4E00-000009000000}"/>
    <hyperlink ref="A4" location="'13.2.29'!A1" display="Peças hidrossanitárias (Afastamento Adaptador)" xr:uid="{00000000-0004-0000-4E00-00000A000000}"/>
    <hyperlink ref="B4" location="'13.2.29'!A1" display="Peças hidrossanitárias (Afastamento Adaptador)" xr:uid="{00000000-0004-0000-4E00-00000B000000}"/>
    <hyperlink ref="C4" location="'13.2.29'!A1" display="Peças hidrossanitárias (Afastamento Adaptador)" xr:uid="{00000000-0004-0000-4E00-00000C000000}"/>
    <hyperlink ref="D4" location="'13.2.29'!A1" display="Peças hidrossanitárias (Afastamento Adaptador)" xr:uid="{00000000-0004-0000-4E00-00000D000000}"/>
    <hyperlink ref="E4" location="'13.2.29'!A1" display="Peças hidrossanitárias (Afastamento Adaptador)" xr:uid="{00000000-0004-0000-4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35</v>
      </c>
      <c r="B2" s="5" t="s">
        <v>36</v>
      </c>
      <c r="C2" s="5" t="s">
        <v>37</v>
      </c>
      <c r="D2" s="5" t="s">
        <v>38</v>
      </c>
      <c r="E2" s="5" t="s">
        <v>16</v>
      </c>
      <c r="F2" s="5" t="s">
        <v>230</v>
      </c>
      <c r="G2" s="5">
        <v>17.3873788</v>
      </c>
      <c r="H2" s="5">
        <v>20.838773491800001</v>
      </c>
      <c r="I2" s="5">
        <v>4626.2077151796002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222</v>
      </c>
      <c r="D8" s="8" t="s">
        <v>231</v>
      </c>
      <c r="E8" s="8">
        <v>222</v>
      </c>
    </row>
    <row r="9" spans="1:9" x14ac:dyDescent="0.25">
      <c r="A9" s="8" t="s">
        <v>198</v>
      </c>
      <c r="B9" s="8" t="s">
        <v>198</v>
      </c>
      <c r="C9" s="8">
        <f>SUBTOTAL(109,Criteria_Summary13.2.6[Elementos])</f>
        <v>222</v>
      </c>
      <c r="D9" s="8" t="s">
        <v>198</v>
      </c>
      <c r="E9" s="8">
        <f>SUBTOTAL(109,Criteria_Summary13.2.6[Total])</f>
        <v>222</v>
      </c>
    </row>
    <row r="10" spans="1:9" x14ac:dyDescent="0.25">
      <c r="A10" s="9" t="s">
        <v>199</v>
      </c>
      <c r="B10" s="9">
        <v>0</v>
      </c>
      <c r="C10" s="10"/>
      <c r="D10" s="10"/>
      <c r="E10" s="9">
        <v>222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222</v>
      </c>
      <c r="C16" s="18" t="s">
        <v>232</v>
      </c>
      <c r="D16" s="18" t="s">
        <v>232</v>
      </c>
      <c r="E16" s="8">
        <v>222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233</v>
      </c>
      <c r="B24" s="18" t="s">
        <v>233</v>
      </c>
      <c r="C24" s="18" t="s">
        <v>233</v>
      </c>
      <c r="D24" s="8" t="s">
        <v>234</v>
      </c>
      <c r="E24" s="8" t="s">
        <v>206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6" xr:uid="{00000000-0004-0000-0700-000000000000}"/>
    <hyperlink ref="F2" location="'13.2.6E'!A1" display="222" xr:uid="{00000000-0004-0000-0700-000001000000}"/>
    <hyperlink ref="E10" location="'13.2.6E'!A1" display="'13.2.6E'!A1" xr:uid="{00000000-0004-0000-07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dimension ref="A1:E12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126</v>
      </c>
      <c r="B1" s="20" t="s">
        <v>126</v>
      </c>
      <c r="C1" s="20" t="s">
        <v>126</v>
      </c>
      <c r="D1" s="20" t="s">
        <v>126</v>
      </c>
      <c r="E1" s="20" t="s">
        <v>126</v>
      </c>
    </row>
    <row r="2" spans="1:5" x14ac:dyDescent="0.25">
      <c r="A2" s="20" t="s">
        <v>126</v>
      </c>
      <c r="B2" s="20" t="s">
        <v>126</v>
      </c>
      <c r="C2" s="20" t="s">
        <v>126</v>
      </c>
      <c r="D2" s="20" t="s">
        <v>126</v>
      </c>
      <c r="E2" s="20" t="s">
        <v>126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302</v>
      </c>
      <c r="D7" s="8" t="s">
        <v>1617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302</v>
      </c>
      <c r="D8" s="8" t="s">
        <v>1618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302</v>
      </c>
      <c r="D9" s="8" t="s">
        <v>1619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302</v>
      </c>
      <c r="D10" s="8" t="s">
        <v>1620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302</v>
      </c>
      <c r="D11" s="8" t="s">
        <v>1621</v>
      </c>
      <c r="E11" s="8">
        <v>1</v>
      </c>
    </row>
    <row r="12" spans="1:5" x14ac:dyDescent="0.25">
      <c r="A12" s="1" t="s">
        <v>198</v>
      </c>
      <c r="B12" s="1" t="s">
        <v>198</v>
      </c>
      <c r="C12" s="1">
        <f>SUBTOTAL(103,Elements13_2_301[Elemento])</f>
        <v>5</v>
      </c>
      <c r="D12" s="1" t="s">
        <v>198</v>
      </c>
      <c r="E12" s="1">
        <f>SUBTOTAL(109,Elements13_2_301[Totais:])</f>
        <v>5</v>
      </c>
    </row>
  </sheetData>
  <mergeCells count="3">
    <mergeCell ref="A1:E2"/>
    <mergeCell ref="A4:E4"/>
    <mergeCell ref="A5:E5"/>
  </mergeCells>
  <hyperlinks>
    <hyperlink ref="A1" location="'13.2.30'!A1" display="CHAVE BOIA,AUTOMATICA,DE MERCURIO,UNIPOLAR.FORNECIMENTO E CO LOCACAO" xr:uid="{00000000-0004-0000-4F00-000000000000}"/>
    <hyperlink ref="B1" location="'13.2.30'!A1" display="CHAVE BOIA,AUTOMATICA,DE MERCURIO,UNIPOLAR.FORNECIMENTO E CO LOCACAO" xr:uid="{00000000-0004-0000-4F00-000001000000}"/>
    <hyperlink ref="C1" location="'13.2.30'!A1" display="CHAVE BOIA,AUTOMATICA,DE MERCURIO,UNIPOLAR.FORNECIMENTO E CO LOCACAO" xr:uid="{00000000-0004-0000-4F00-000002000000}"/>
    <hyperlink ref="D1" location="'13.2.30'!A1" display="CHAVE BOIA,AUTOMATICA,DE MERCURIO,UNIPOLAR.FORNECIMENTO E CO LOCACAO" xr:uid="{00000000-0004-0000-4F00-000003000000}"/>
    <hyperlink ref="E1" location="'13.2.30'!A1" display="CHAVE BOIA,AUTOMATICA,DE MERCURIO,UNIPOLAR.FORNECIMENTO E CO LOCACAO" xr:uid="{00000000-0004-0000-4F00-000004000000}"/>
    <hyperlink ref="A2" location="'13.2.30'!A1" display="CHAVE BOIA,AUTOMATICA,DE MERCURIO,UNIPOLAR.FORNECIMENTO E CO LOCACAO" xr:uid="{00000000-0004-0000-4F00-000005000000}"/>
    <hyperlink ref="B2" location="'13.2.30'!A1" display="CHAVE BOIA,AUTOMATICA,DE MERCURIO,UNIPOLAR.FORNECIMENTO E CO LOCACAO" xr:uid="{00000000-0004-0000-4F00-000006000000}"/>
    <hyperlink ref="C2" location="'13.2.30'!A1" display="CHAVE BOIA,AUTOMATICA,DE MERCURIO,UNIPOLAR.FORNECIMENTO E CO LOCACAO" xr:uid="{00000000-0004-0000-4F00-000007000000}"/>
    <hyperlink ref="D2" location="'13.2.30'!A1" display="CHAVE BOIA,AUTOMATICA,DE MERCURIO,UNIPOLAR.FORNECIMENTO E CO LOCACAO" xr:uid="{00000000-0004-0000-4F00-000008000000}"/>
    <hyperlink ref="E2" location="'13.2.30'!A1" display="CHAVE BOIA,AUTOMATICA,DE MERCURIO,UNIPOLAR.FORNECIMENTO E CO LOCACAO" xr:uid="{00000000-0004-0000-4F00-000009000000}"/>
    <hyperlink ref="A4" location="'13.2.30'!A1" display="Acessórios do tubo (A)" xr:uid="{00000000-0004-0000-4F00-00000A000000}"/>
    <hyperlink ref="B4" location="'13.2.30'!A1" display="Acessórios do tubo (A)" xr:uid="{00000000-0004-0000-4F00-00000B000000}"/>
    <hyperlink ref="C4" location="'13.2.30'!A1" display="Acessórios do tubo (A)" xr:uid="{00000000-0004-0000-4F00-00000C000000}"/>
    <hyperlink ref="D4" location="'13.2.30'!A1" display="Acessórios do tubo (A)" xr:uid="{00000000-0004-0000-4F00-00000D000000}"/>
    <hyperlink ref="E4" location="'13.2.30'!A1" display="Acessórios do tubo (A)" xr:uid="{00000000-0004-0000-4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dimension ref="A1:E1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130</v>
      </c>
      <c r="B1" s="20" t="s">
        <v>130</v>
      </c>
      <c r="C1" s="20" t="s">
        <v>130</v>
      </c>
      <c r="D1" s="20" t="s">
        <v>130</v>
      </c>
      <c r="E1" s="20" t="s">
        <v>130</v>
      </c>
    </row>
    <row r="2" spans="1:5" x14ac:dyDescent="0.25">
      <c r="A2" s="20" t="s">
        <v>130</v>
      </c>
      <c r="B2" s="20" t="s">
        <v>130</v>
      </c>
      <c r="C2" s="20" t="s">
        <v>130</v>
      </c>
      <c r="D2" s="20" t="s">
        <v>130</v>
      </c>
      <c r="E2" s="20" t="s">
        <v>130</v>
      </c>
    </row>
    <row r="4" spans="1:5" x14ac:dyDescent="0.25">
      <c r="A4" s="15" t="s">
        <v>258</v>
      </c>
      <c r="B4" s="15" t="s">
        <v>258</v>
      </c>
      <c r="C4" s="15" t="s">
        <v>258</v>
      </c>
      <c r="D4" s="15" t="s">
        <v>258</v>
      </c>
      <c r="E4" s="15" t="s">
        <v>258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1622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1623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1624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1625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1626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1627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1628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1629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1630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1631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1632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1633</v>
      </c>
      <c r="E18" s="8">
        <v>1</v>
      </c>
    </row>
    <row r="19" spans="1:5" x14ac:dyDescent="0.25">
      <c r="A19" s="1" t="s">
        <v>198</v>
      </c>
      <c r="B19" s="1" t="s">
        <v>198</v>
      </c>
      <c r="C19" s="1">
        <f>SUBTOTAL(103,Elements13_2_311[Elemento])</f>
        <v>12</v>
      </c>
      <c r="D19" s="1" t="s">
        <v>198</v>
      </c>
      <c r="E19" s="1">
        <f>SUBTOTAL(109,Elements13_2_311[Totais:])</f>
        <v>12</v>
      </c>
    </row>
  </sheetData>
  <mergeCells count="3">
    <mergeCell ref="A1:E2"/>
    <mergeCell ref="A4:E4"/>
    <mergeCell ref="A5:E5"/>
  </mergeCells>
  <hyperlinks>
    <hyperlink ref="A1" location="'13.2.31'!A1" display="CURVA 45º SOLDAVEL,COM DIAMETRO DE 25MM.FORNECIMENTO" xr:uid="{00000000-0004-0000-5000-000000000000}"/>
    <hyperlink ref="B1" location="'13.2.31'!A1" display="CURVA 45º SOLDAVEL,COM DIAMETRO DE 25MM.FORNECIMENTO" xr:uid="{00000000-0004-0000-5000-000001000000}"/>
    <hyperlink ref="C1" location="'13.2.31'!A1" display="CURVA 45º SOLDAVEL,COM DIAMETRO DE 25MM.FORNECIMENTO" xr:uid="{00000000-0004-0000-5000-000002000000}"/>
    <hyperlink ref="D1" location="'13.2.31'!A1" display="CURVA 45º SOLDAVEL,COM DIAMETRO DE 25MM.FORNECIMENTO" xr:uid="{00000000-0004-0000-5000-000003000000}"/>
    <hyperlink ref="E1" location="'13.2.31'!A1" display="CURVA 45º SOLDAVEL,COM DIAMETRO DE 25MM.FORNECIMENTO" xr:uid="{00000000-0004-0000-5000-000004000000}"/>
    <hyperlink ref="A2" location="'13.2.31'!A1" display="CURVA 45º SOLDAVEL,COM DIAMETRO DE 25MM.FORNECIMENTO" xr:uid="{00000000-0004-0000-5000-000005000000}"/>
    <hyperlink ref="B2" location="'13.2.31'!A1" display="CURVA 45º SOLDAVEL,COM DIAMETRO DE 25MM.FORNECIMENTO" xr:uid="{00000000-0004-0000-5000-000006000000}"/>
    <hyperlink ref="C2" location="'13.2.31'!A1" display="CURVA 45º SOLDAVEL,COM DIAMETRO DE 25MM.FORNECIMENTO" xr:uid="{00000000-0004-0000-5000-000007000000}"/>
    <hyperlink ref="D2" location="'13.2.31'!A1" display="CURVA 45º SOLDAVEL,COM DIAMETRO DE 25MM.FORNECIMENTO" xr:uid="{00000000-0004-0000-5000-000008000000}"/>
    <hyperlink ref="E2" location="'13.2.31'!A1" display="CURVA 45º SOLDAVEL,COM DIAMETRO DE 25MM.FORNECIMENTO" xr:uid="{00000000-0004-0000-5000-000009000000}"/>
    <hyperlink ref="A4" location="'13.2.31'!A1" display="Conexões de tubo" xr:uid="{00000000-0004-0000-5000-00000A000000}"/>
    <hyperlink ref="B4" location="'13.2.31'!A1" display="Conexões de tubo" xr:uid="{00000000-0004-0000-5000-00000B000000}"/>
    <hyperlink ref="C4" location="'13.2.31'!A1" display="Conexões de tubo" xr:uid="{00000000-0004-0000-5000-00000C000000}"/>
    <hyperlink ref="D4" location="'13.2.31'!A1" display="Conexões de tubo" xr:uid="{00000000-0004-0000-5000-00000D000000}"/>
    <hyperlink ref="E4" location="'13.2.31'!A1" display="Conexões de tubo" xr:uid="{00000000-0004-0000-5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dimension ref="A1:E22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133</v>
      </c>
      <c r="B1" s="20" t="s">
        <v>133</v>
      </c>
      <c r="C1" s="20" t="s">
        <v>133</v>
      </c>
      <c r="D1" s="20" t="s">
        <v>133</v>
      </c>
      <c r="E1" s="20" t="s">
        <v>133</v>
      </c>
    </row>
    <row r="2" spans="1:5" x14ac:dyDescent="0.25">
      <c r="A2" s="20" t="s">
        <v>133</v>
      </c>
      <c r="B2" s="20" t="s">
        <v>133</v>
      </c>
      <c r="C2" s="20" t="s">
        <v>133</v>
      </c>
      <c r="D2" s="20" t="s">
        <v>133</v>
      </c>
      <c r="E2" s="20" t="s">
        <v>133</v>
      </c>
    </row>
    <row r="4" spans="1:5" x14ac:dyDescent="0.25">
      <c r="A4" s="15" t="s">
        <v>304</v>
      </c>
      <c r="B4" s="15" t="s">
        <v>304</v>
      </c>
      <c r="C4" s="15" t="s">
        <v>304</v>
      </c>
      <c r="D4" s="15" t="s">
        <v>304</v>
      </c>
      <c r="E4" s="15" t="s">
        <v>304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234</v>
      </c>
      <c r="D7" s="8" t="s">
        <v>386</v>
      </c>
      <c r="E7" s="8">
        <v>0.18635708013824634</v>
      </c>
    </row>
    <row r="8" spans="1:5" ht="24.75" x14ac:dyDescent="0.25">
      <c r="A8" s="8" t="s">
        <v>338</v>
      </c>
      <c r="B8" s="8" t="s">
        <v>224</v>
      </c>
      <c r="C8" s="8" t="s">
        <v>234</v>
      </c>
      <c r="D8" s="8" t="s">
        <v>387</v>
      </c>
      <c r="E8" s="8">
        <v>0.18635708013824634</v>
      </c>
    </row>
    <row r="9" spans="1:5" ht="24.75" x14ac:dyDescent="0.25">
      <c r="A9" s="8" t="s">
        <v>338</v>
      </c>
      <c r="B9" s="8" t="s">
        <v>224</v>
      </c>
      <c r="C9" s="8" t="s">
        <v>234</v>
      </c>
      <c r="D9" s="8" t="s">
        <v>388</v>
      </c>
      <c r="E9" s="8">
        <v>0.18635708013824634</v>
      </c>
    </row>
    <row r="10" spans="1:5" ht="24.75" x14ac:dyDescent="0.25">
      <c r="A10" s="8" t="s">
        <v>338</v>
      </c>
      <c r="B10" s="8" t="s">
        <v>224</v>
      </c>
      <c r="C10" s="8" t="s">
        <v>234</v>
      </c>
      <c r="D10" s="8" t="s">
        <v>389</v>
      </c>
      <c r="E10" s="8">
        <v>0.18635708013824634</v>
      </c>
    </row>
    <row r="11" spans="1:5" ht="24.75" x14ac:dyDescent="0.25">
      <c r="A11" s="8" t="s">
        <v>338</v>
      </c>
      <c r="B11" s="8" t="s">
        <v>224</v>
      </c>
      <c r="C11" s="8" t="s">
        <v>234</v>
      </c>
      <c r="D11" s="8" t="s">
        <v>390</v>
      </c>
      <c r="E11" s="8">
        <v>0.18635708013824634</v>
      </c>
    </row>
    <row r="12" spans="1:5" ht="24.75" x14ac:dyDescent="0.25">
      <c r="A12" s="8" t="s">
        <v>338</v>
      </c>
      <c r="B12" s="8" t="s">
        <v>224</v>
      </c>
      <c r="C12" s="8" t="s">
        <v>234</v>
      </c>
      <c r="D12" s="8" t="s">
        <v>391</v>
      </c>
      <c r="E12" s="8">
        <v>0.18635708013824634</v>
      </c>
    </row>
    <row r="13" spans="1:5" ht="24.75" x14ac:dyDescent="0.25">
      <c r="A13" s="8" t="s">
        <v>338</v>
      </c>
      <c r="B13" s="8" t="s">
        <v>224</v>
      </c>
      <c r="C13" s="8" t="s">
        <v>234</v>
      </c>
      <c r="D13" s="8" t="s">
        <v>392</v>
      </c>
      <c r="E13" s="8">
        <v>0.18635708013824634</v>
      </c>
    </row>
    <row r="14" spans="1:5" ht="24.75" x14ac:dyDescent="0.25">
      <c r="A14" s="8" t="s">
        <v>338</v>
      </c>
      <c r="B14" s="8" t="s">
        <v>224</v>
      </c>
      <c r="C14" s="8" t="s">
        <v>234</v>
      </c>
      <c r="D14" s="8" t="s">
        <v>393</v>
      </c>
      <c r="E14" s="8">
        <v>0.18635708013824634</v>
      </c>
    </row>
    <row r="15" spans="1:5" ht="24.75" x14ac:dyDescent="0.25">
      <c r="A15" s="8" t="s">
        <v>338</v>
      </c>
      <c r="B15" s="8" t="s">
        <v>224</v>
      </c>
      <c r="C15" s="8" t="s">
        <v>234</v>
      </c>
      <c r="D15" s="8" t="s">
        <v>394</v>
      </c>
      <c r="E15" s="8">
        <v>0.18635708013824634</v>
      </c>
    </row>
    <row r="16" spans="1:5" ht="24.75" x14ac:dyDescent="0.25">
      <c r="A16" s="8" t="s">
        <v>338</v>
      </c>
      <c r="B16" s="8" t="s">
        <v>224</v>
      </c>
      <c r="C16" s="8" t="s">
        <v>234</v>
      </c>
      <c r="D16" s="8" t="s">
        <v>395</v>
      </c>
      <c r="E16" s="8">
        <v>0.18635708013824634</v>
      </c>
    </row>
    <row r="17" spans="1:5" ht="24.75" x14ac:dyDescent="0.25">
      <c r="A17" s="8" t="s">
        <v>338</v>
      </c>
      <c r="B17" s="8" t="s">
        <v>224</v>
      </c>
      <c r="C17" s="8" t="s">
        <v>234</v>
      </c>
      <c r="D17" s="8" t="s">
        <v>396</v>
      </c>
      <c r="E17" s="8">
        <v>0.18635708013824634</v>
      </c>
    </row>
    <row r="18" spans="1:5" ht="24.75" x14ac:dyDescent="0.25">
      <c r="A18" s="8" t="s">
        <v>338</v>
      </c>
      <c r="B18" s="8" t="s">
        <v>224</v>
      </c>
      <c r="C18" s="8" t="s">
        <v>234</v>
      </c>
      <c r="D18" s="8" t="s">
        <v>397</v>
      </c>
      <c r="E18" s="8">
        <v>0.18635708013824634</v>
      </c>
    </row>
    <row r="19" spans="1:5" ht="24.75" x14ac:dyDescent="0.25">
      <c r="A19" s="8" t="s">
        <v>338</v>
      </c>
      <c r="B19" s="8" t="s">
        <v>224</v>
      </c>
      <c r="C19" s="8" t="s">
        <v>234</v>
      </c>
      <c r="D19" s="8" t="s">
        <v>398</v>
      </c>
      <c r="E19" s="8">
        <v>0.18635708013824634</v>
      </c>
    </row>
    <row r="20" spans="1:5" ht="24.75" x14ac:dyDescent="0.25">
      <c r="A20" s="8" t="s">
        <v>338</v>
      </c>
      <c r="B20" s="8" t="s">
        <v>224</v>
      </c>
      <c r="C20" s="8" t="s">
        <v>234</v>
      </c>
      <c r="D20" s="8" t="s">
        <v>399</v>
      </c>
      <c r="E20" s="8">
        <v>0.18635708013824634</v>
      </c>
    </row>
    <row r="21" spans="1:5" ht="24.75" x14ac:dyDescent="0.25">
      <c r="A21" s="8" t="s">
        <v>338</v>
      </c>
      <c r="B21" s="8" t="s">
        <v>224</v>
      </c>
      <c r="C21" s="8" t="s">
        <v>234</v>
      </c>
      <c r="D21" s="8" t="s">
        <v>400</v>
      </c>
      <c r="E21" s="8">
        <v>0.18635708013824634</v>
      </c>
    </row>
    <row r="22" spans="1:5" ht="24.75" x14ac:dyDescent="0.25">
      <c r="A22" s="8" t="s">
        <v>338</v>
      </c>
      <c r="B22" s="8" t="s">
        <v>224</v>
      </c>
      <c r="C22" s="8" t="s">
        <v>234</v>
      </c>
      <c r="D22" s="8" t="s">
        <v>401</v>
      </c>
      <c r="E22" s="8">
        <v>0.18635708013824634</v>
      </c>
    </row>
    <row r="23" spans="1:5" ht="24.75" x14ac:dyDescent="0.25">
      <c r="A23" s="8" t="s">
        <v>338</v>
      </c>
      <c r="B23" s="8" t="s">
        <v>224</v>
      </c>
      <c r="C23" s="8" t="s">
        <v>234</v>
      </c>
      <c r="D23" s="8" t="s">
        <v>402</v>
      </c>
      <c r="E23" s="8">
        <v>0.18635708013824634</v>
      </c>
    </row>
    <row r="24" spans="1:5" ht="24.75" x14ac:dyDescent="0.25">
      <c r="A24" s="8" t="s">
        <v>338</v>
      </c>
      <c r="B24" s="8" t="s">
        <v>224</v>
      </c>
      <c r="C24" s="8" t="s">
        <v>234</v>
      </c>
      <c r="D24" s="8" t="s">
        <v>403</v>
      </c>
      <c r="E24" s="8">
        <v>0.18635708013824634</v>
      </c>
    </row>
    <row r="25" spans="1:5" ht="24.75" x14ac:dyDescent="0.25">
      <c r="A25" s="8" t="s">
        <v>338</v>
      </c>
      <c r="B25" s="8" t="s">
        <v>224</v>
      </c>
      <c r="C25" s="8" t="s">
        <v>234</v>
      </c>
      <c r="D25" s="8" t="s">
        <v>404</v>
      </c>
      <c r="E25" s="8">
        <v>0.18635708013824634</v>
      </c>
    </row>
    <row r="26" spans="1:5" ht="24.75" x14ac:dyDescent="0.25">
      <c r="A26" s="8" t="s">
        <v>338</v>
      </c>
      <c r="B26" s="8" t="s">
        <v>224</v>
      </c>
      <c r="C26" s="8" t="s">
        <v>234</v>
      </c>
      <c r="D26" s="8" t="s">
        <v>405</v>
      </c>
      <c r="E26" s="8">
        <v>0.18635708013824634</v>
      </c>
    </row>
    <row r="27" spans="1:5" ht="24.75" x14ac:dyDescent="0.25">
      <c r="A27" s="8" t="s">
        <v>338</v>
      </c>
      <c r="B27" s="8" t="s">
        <v>224</v>
      </c>
      <c r="C27" s="8" t="s">
        <v>234</v>
      </c>
      <c r="D27" s="8" t="s">
        <v>406</v>
      </c>
      <c r="E27" s="8">
        <v>0.18635708013824634</v>
      </c>
    </row>
    <row r="28" spans="1:5" ht="24.75" x14ac:dyDescent="0.25">
      <c r="A28" s="8" t="s">
        <v>338</v>
      </c>
      <c r="B28" s="8" t="s">
        <v>224</v>
      </c>
      <c r="C28" s="8" t="s">
        <v>234</v>
      </c>
      <c r="D28" s="8" t="s">
        <v>407</v>
      </c>
      <c r="E28" s="8">
        <v>0.18635708013824634</v>
      </c>
    </row>
    <row r="29" spans="1:5" ht="24.75" x14ac:dyDescent="0.25">
      <c r="A29" s="8" t="s">
        <v>338</v>
      </c>
      <c r="B29" s="8" t="s">
        <v>224</v>
      </c>
      <c r="C29" s="8" t="s">
        <v>234</v>
      </c>
      <c r="D29" s="8" t="s">
        <v>408</v>
      </c>
      <c r="E29" s="8">
        <v>0.18635708013824634</v>
      </c>
    </row>
    <row r="30" spans="1:5" ht="24.75" x14ac:dyDescent="0.25">
      <c r="A30" s="8" t="s">
        <v>338</v>
      </c>
      <c r="B30" s="8" t="s">
        <v>224</v>
      </c>
      <c r="C30" s="8" t="s">
        <v>234</v>
      </c>
      <c r="D30" s="8" t="s">
        <v>409</v>
      </c>
      <c r="E30" s="8">
        <v>0.18635708013824634</v>
      </c>
    </row>
    <row r="31" spans="1:5" ht="24.75" x14ac:dyDescent="0.25">
      <c r="A31" s="8" t="s">
        <v>338</v>
      </c>
      <c r="B31" s="8" t="s">
        <v>224</v>
      </c>
      <c r="C31" s="8" t="s">
        <v>234</v>
      </c>
      <c r="D31" s="8" t="s">
        <v>410</v>
      </c>
      <c r="E31" s="8">
        <v>0.18635708013824634</v>
      </c>
    </row>
    <row r="32" spans="1:5" ht="24.75" x14ac:dyDescent="0.25">
      <c r="A32" s="8" t="s">
        <v>338</v>
      </c>
      <c r="B32" s="8" t="s">
        <v>224</v>
      </c>
      <c r="C32" s="8" t="s">
        <v>234</v>
      </c>
      <c r="D32" s="8" t="s">
        <v>411</v>
      </c>
      <c r="E32" s="8">
        <v>0.18635708013824634</v>
      </c>
    </row>
    <row r="33" spans="1:5" ht="24.75" x14ac:dyDescent="0.25">
      <c r="A33" s="8" t="s">
        <v>338</v>
      </c>
      <c r="B33" s="8" t="s">
        <v>224</v>
      </c>
      <c r="C33" s="8" t="s">
        <v>234</v>
      </c>
      <c r="D33" s="8" t="s">
        <v>412</v>
      </c>
      <c r="E33" s="8">
        <v>0.18635708013824634</v>
      </c>
    </row>
    <row r="34" spans="1:5" ht="24.75" x14ac:dyDescent="0.25">
      <c r="A34" s="8" t="s">
        <v>338</v>
      </c>
      <c r="B34" s="8" t="s">
        <v>224</v>
      </c>
      <c r="C34" s="8" t="s">
        <v>234</v>
      </c>
      <c r="D34" s="8" t="s">
        <v>413</v>
      </c>
      <c r="E34" s="8">
        <v>0.18635708013824634</v>
      </c>
    </row>
    <row r="35" spans="1:5" ht="24.75" x14ac:dyDescent="0.25">
      <c r="A35" s="8" t="s">
        <v>338</v>
      </c>
      <c r="B35" s="8" t="s">
        <v>224</v>
      </c>
      <c r="C35" s="8" t="s">
        <v>234</v>
      </c>
      <c r="D35" s="8" t="s">
        <v>414</v>
      </c>
      <c r="E35" s="8">
        <v>0.18635708013824634</v>
      </c>
    </row>
    <row r="36" spans="1:5" ht="24.75" x14ac:dyDescent="0.25">
      <c r="A36" s="8" t="s">
        <v>338</v>
      </c>
      <c r="B36" s="8" t="s">
        <v>224</v>
      </c>
      <c r="C36" s="8" t="s">
        <v>234</v>
      </c>
      <c r="D36" s="8" t="s">
        <v>415</v>
      </c>
      <c r="E36" s="8">
        <v>0.18635708013824634</v>
      </c>
    </row>
    <row r="37" spans="1:5" ht="24.75" x14ac:dyDescent="0.25">
      <c r="A37" s="8" t="s">
        <v>338</v>
      </c>
      <c r="B37" s="8" t="s">
        <v>224</v>
      </c>
      <c r="C37" s="8" t="s">
        <v>234</v>
      </c>
      <c r="D37" s="8" t="s">
        <v>416</v>
      </c>
      <c r="E37" s="8">
        <v>0.18635708013824634</v>
      </c>
    </row>
    <row r="38" spans="1:5" ht="24.75" x14ac:dyDescent="0.25">
      <c r="A38" s="8" t="s">
        <v>338</v>
      </c>
      <c r="B38" s="8" t="s">
        <v>224</v>
      </c>
      <c r="C38" s="8" t="s">
        <v>234</v>
      </c>
      <c r="D38" s="8" t="s">
        <v>417</v>
      </c>
      <c r="E38" s="8">
        <v>0.18635708013824634</v>
      </c>
    </row>
    <row r="39" spans="1:5" ht="24.75" x14ac:dyDescent="0.25">
      <c r="A39" s="8" t="s">
        <v>338</v>
      </c>
      <c r="B39" s="8" t="s">
        <v>224</v>
      </c>
      <c r="C39" s="8" t="s">
        <v>234</v>
      </c>
      <c r="D39" s="8" t="s">
        <v>418</v>
      </c>
      <c r="E39" s="8">
        <v>0.18635708013824634</v>
      </c>
    </row>
    <row r="40" spans="1:5" ht="24.75" x14ac:dyDescent="0.25">
      <c r="A40" s="8" t="s">
        <v>338</v>
      </c>
      <c r="B40" s="8" t="s">
        <v>224</v>
      </c>
      <c r="C40" s="8" t="s">
        <v>234</v>
      </c>
      <c r="D40" s="8" t="s">
        <v>419</v>
      </c>
      <c r="E40" s="8">
        <v>0.18635708013824634</v>
      </c>
    </row>
    <row r="41" spans="1:5" ht="24.75" x14ac:dyDescent="0.25">
      <c r="A41" s="8" t="s">
        <v>338</v>
      </c>
      <c r="B41" s="8" t="s">
        <v>224</v>
      </c>
      <c r="C41" s="8" t="s">
        <v>234</v>
      </c>
      <c r="D41" s="8" t="s">
        <v>420</v>
      </c>
      <c r="E41" s="8">
        <v>0.18635708013824634</v>
      </c>
    </row>
    <row r="42" spans="1:5" ht="24.75" x14ac:dyDescent="0.25">
      <c r="A42" s="8" t="s">
        <v>338</v>
      </c>
      <c r="B42" s="8" t="s">
        <v>224</v>
      </c>
      <c r="C42" s="8" t="s">
        <v>234</v>
      </c>
      <c r="D42" s="8" t="s">
        <v>421</v>
      </c>
      <c r="E42" s="8">
        <v>2.4999999999999996</v>
      </c>
    </row>
    <row r="43" spans="1:5" ht="24.75" x14ac:dyDescent="0.25">
      <c r="A43" s="8" t="s">
        <v>338</v>
      </c>
      <c r="B43" s="8" t="s">
        <v>224</v>
      </c>
      <c r="C43" s="8" t="s">
        <v>234</v>
      </c>
      <c r="D43" s="8" t="s">
        <v>422</v>
      </c>
      <c r="E43" s="8">
        <v>2.4999999999999996</v>
      </c>
    </row>
    <row r="44" spans="1:5" ht="24.75" x14ac:dyDescent="0.25">
      <c r="A44" s="8" t="s">
        <v>338</v>
      </c>
      <c r="B44" s="8" t="s">
        <v>224</v>
      </c>
      <c r="C44" s="8" t="s">
        <v>234</v>
      </c>
      <c r="D44" s="8" t="s">
        <v>423</v>
      </c>
      <c r="E44" s="8">
        <v>1.1000000000000001</v>
      </c>
    </row>
    <row r="45" spans="1:5" ht="24.75" x14ac:dyDescent="0.25">
      <c r="A45" s="8" t="s">
        <v>338</v>
      </c>
      <c r="B45" s="8" t="s">
        <v>224</v>
      </c>
      <c r="C45" s="8" t="s">
        <v>234</v>
      </c>
      <c r="D45" s="8" t="s">
        <v>424</v>
      </c>
      <c r="E45" s="8">
        <v>0.16536945796882505</v>
      </c>
    </row>
    <row r="46" spans="1:5" ht="24.75" x14ac:dyDescent="0.25">
      <c r="A46" s="8" t="s">
        <v>338</v>
      </c>
      <c r="B46" s="8" t="s">
        <v>224</v>
      </c>
      <c r="C46" s="8" t="s">
        <v>234</v>
      </c>
      <c r="D46" s="8" t="s">
        <v>425</v>
      </c>
      <c r="E46" s="8">
        <v>0.16536945796882505</v>
      </c>
    </row>
    <row r="47" spans="1:5" ht="24.75" x14ac:dyDescent="0.25">
      <c r="A47" s="8" t="s">
        <v>338</v>
      </c>
      <c r="B47" s="8" t="s">
        <v>224</v>
      </c>
      <c r="C47" s="8" t="s">
        <v>234</v>
      </c>
      <c r="D47" s="8" t="s">
        <v>426</v>
      </c>
      <c r="E47" s="8">
        <v>0.16536945796882505</v>
      </c>
    </row>
    <row r="48" spans="1:5" ht="24.75" x14ac:dyDescent="0.25">
      <c r="A48" s="8" t="s">
        <v>338</v>
      </c>
      <c r="B48" s="8" t="s">
        <v>224</v>
      </c>
      <c r="C48" s="8" t="s">
        <v>234</v>
      </c>
      <c r="D48" s="8" t="s">
        <v>427</v>
      </c>
      <c r="E48" s="8">
        <v>0.16536945796882505</v>
      </c>
    </row>
    <row r="49" spans="1:5" ht="24.75" x14ac:dyDescent="0.25">
      <c r="A49" s="8" t="s">
        <v>338</v>
      </c>
      <c r="B49" s="8" t="s">
        <v>224</v>
      </c>
      <c r="C49" s="8" t="s">
        <v>234</v>
      </c>
      <c r="D49" s="8" t="s">
        <v>428</v>
      </c>
      <c r="E49" s="8">
        <v>0.16536945796882505</v>
      </c>
    </row>
    <row r="50" spans="1:5" ht="24.75" x14ac:dyDescent="0.25">
      <c r="A50" s="8" t="s">
        <v>338</v>
      </c>
      <c r="B50" s="8" t="s">
        <v>224</v>
      </c>
      <c r="C50" s="8" t="s">
        <v>234</v>
      </c>
      <c r="D50" s="8" t="s">
        <v>429</v>
      </c>
      <c r="E50" s="8">
        <v>0.16536945796882505</v>
      </c>
    </row>
    <row r="51" spans="1:5" ht="24.75" x14ac:dyDescent="0.25">
      <c r="A51" s="8" t="s">
        <v>338</v>
      </c>
      <c r="B51" s="8" t="s">
        <v>224</v>
      </c>
      <c r="C51" s="8" t="s">
        <v>234</v>
      </c>
      <c r="D51" s="8" t="s">
        <v>430</v>
      </c>
      <c r="E51" s="8">
        <v>0.16536945796882505</v>
      </c>
    </row>
    <row r="52" spans="1:5" ht="24.75" x14ac:dyDescent="0.25">
      <c r="A52" s="8" t="s">
        <v>338</v>
      </c>
      <c r="B52" s="8" t="s">
        <v>224</v>
      </c>
      <c r="C52" s="8" t="s">
        <v>234</v>
      </c>
      <c r="D52" s="8" t="s">
        <v>431</v>
      </c>
      <c r="E52" s="8">
        <v>0.16536945796882505</v>
      </c>
    </row>
    <row r="53" spans="1:5" ht="24.75" x14ac:dyDescent="0.25">
      <c r="A53" s="8" t="s">
        <v>338</v>
      </c>
      <c r="B53" s="8" t="s">
        <v>224</v>
      </c>
      <c r="C53" s="8" t="s">
        <v>234</v>
      </c>
      <c r="D53" s="8" t="s">
        <v>432</v>
      </c>
      <c r="E53" s="8">
        <v>0.16536945796882505</v>
      </c>
    </row>
    <row r="54" spans="1:5" ht="24.75" x14ac:dyDescent="0.25">
      <c r="A54" s="8" t="s">
        <v>338</v>
      </c>
      <c r="B54" s="8" t="s">
        <v>224</v>
      </c>
      <c r="C54" s="8" t="s">
        <v>234</v>
      </c>
      <c r="D54" s="8" t="s">
        <v>433</v>
      </c>
      <c r="E54" s="8">
        <v>0.16536945796882505</v>
      </c>
    </row>
    <row r="55" spans="1:5" ht="24.75" x14ac:dyDescent="0.25">
      <c r="A55" s="8" t="s">
        <v>338</v>
      </c>
      <c r="B55" s="8" t="s">
        <v>224</v>
      </c>
      <c r="C55" s="8" t="s">
        <v>234</v>
      </c>
      <c r="D55" s="8" t="s">
        <v>434</v>
      </c>
      <c r="E55" s="8">
        <v>0.16536945796882505</v>
      </c>
    </row>
    <row r="56" spans="1:5" ht="24.75" x14ac:dyDescent="0.25">
      <c r="A56" s="8" t="s">
        <v>338</v>
      </c>
      <c r="B56" s="8" t="s">
        <v>224</v>
      </c>
      <c r="C56" s="8" t="s">
        <v>234</v>
      </c>
      <c r="D56" s="8" t="s">
        <v>435</v>
      </c>
      <c r="E56" s="8">
        <v>0.16536945796882505</v>
      </c>
    </row>
    <row r="57" spans="1:5" ht="24.75" x14ac:dyDescent="0.25">
      <c r="A57" s="8" t="s">
        <v>338</v>
      </c>
      <c r="B57" s="8" t="s">
        <v>224</v>
      </c>
      <c r="C57" s="8" t="s">
        <v>234</v>
      </c>
      <c r="D57" s="8" t="s">
        <v>436</v>
      </c>
      <c r="E57" s="8">
        <v>0.16536945796882505</v>
      </c>
    </row>
    <row r="58" spans="1:5" ht="24.75" x14ac:dyDescent="0.25">
      <c r="A58" s="8" t="s">
        <v>338</v>
      </c>
      <c r="B58" s="8" t="s">
        <v>224</v>
      </c>
      <c r="C58" s="8" t="s">
        <v>234</v>
      </c>
      <c r="D58" s="8" t="s">
        <v>437</v>
      </c>
      <c r="E58" s="8">
        <v>0.16536945796882505</v>
      </c>
    </row>
    <row r="59" spans="1:5" ht="24.75" x14ac:dyDescent="0.25">
      <c r="A59" s="8" t="s">
        <v>338</v>
      </c>
      <c r="B59" s="8" t="s">
        <v>224</v>
      </c>
      <c r="C59" s="8" t="s">
        <v>234</v>
      </c>
      <c r="D59" s="8" t="s">
        <v>438</v>
      </c>
      <c r="E59" s="8">
        <v>0.16536945796882505</v>
      </c>
    </row>
    <row r="60" spans="1:5" ht="24.75" x14ac:dyDescent="0.25">
      <c r="A60" s="8" t="s">
        <v>338</v>
      </c>
      <c r="B60" s="8" t="s">
        <v>224</v>
      </c>
      <c r="C60" s="8" t="s">
        <v>234</v>
      </c>
      <c r="D60" s="8" t="s">
        <v>439</v>
      </c>
      <c r="E60" s="8">
        <v>0.16536945796882505</v>
      </c>
    </row>
    <row r="61" spans="1:5" ht="24.75" x14ac:dyDescent="0.25">
      <c r="A61" s="8" t="s">
        <v>338</v>
      </c>
      <c r="B61" s="8" t="s">
        <v>224</v>
      </c>
      <c r="C61" s="8" t="s">
        <v>234</v>
      </c>
      <c r="D61" s="8" t="s">
        <v>440</v>
      </c>
      <c r="E61" s="8">
        <v>0.16536945796882505</v>
      </c>
    </row>
    <row r="62" spans="1:5" ht="24.75" x14ac:dyDescent="0.25">
      <c r="A62" s="8" t="s">
        <v>338</v>
      </c>
      <c r="B62" s="8" t="s">
        <v>224</v>
      </c>
      <c r="C62" s="8" t="s">
        <v>234</v>
      </c>
      <c r="D62" s="8" t="s">
        <v>441</v>
      </c>
      <c r="E62" s="8">
        <v>0.16536945796882505</v>
      </c>
    </row>
    <row r="63" spans="1:5" ht="24.75" x14ac:dyDescent="0.25">
      <c r="A63" s="8" t="s">
        <v>338</v>
      </c>
      <c r="B63" s="8" t="s">
        <v>224</v>
      </c>
      <c r="C63" s="8" t="s">
        <v>234</v>
      </c>
      <c r="D63" s="8" t="s">
        <v>442</v>
      </c>
      <c r="E63" s="8">
        <v>0.16536945796882505</v>
      </c>
    </row>
    <row r="64" spans="1:5" ht="24.75" x14ac:dyDescent="0.25">
      <c r="A64" s="8" t="s">
        <v>338</v>
      </c>
      <c r="B64" s="8" t="s">
        <v>224</v>
      </c>
      <c r="C64" s="8" t="s">
        <v>234</v>
      </c>
      <c r="D64" s="8" t="s">
        <v>443</v>
      </c>
      <c r="E64" s="8">
        <v>0.16536945796882505</v>
      </c>
    </row>
    <row r="65" spans="1:5" ht="24.75" x14ac:dyDescent="0.25">
      <c r="A65" s="8" t="s">
        <v>338</v>
      </c>
      <c r="B65" s="8" t="s">
        <v>224</v>
      </c>
      <c r="C65" s="8" t="s">
        <v>234</v>
      </c>
      <c r="D65" s="8" t="s">
        <v>444</v>
      </c>
      <c r="E65" s="8">
        <v>0.16536945796882505</v>
      </c>
    </row>
    <row r="66" spans="1:5" ht="24.75" x14ac:dyDescent="0.25">
      <c r="A66" s="8" t="s">
        <v>338</v>
      </c>
      <c r="B66" s="8" t="s">
        <v>224</v>
      </c>
      <c r="C66" s="8" t="s">
        <v>234</v>
      </c>
      <c r="D66" s="8" t="s">
        <v>445</v>
      </c>
      <c r="E66" s="8">
        <v>0.16536945796882505</v>
      </c>
    </row>
    <row r="67" spans="1:5" ht="24.75" x14ac:dyDescent="0.25">
      <c r="A67" s="8" t="s">
        <v>338</v>
      </c>
      <c r="B67" s="8" t="s">
        <v>224</v>
      </c>
      <c r="C67" s="8" t="s">
        <v>234</v>
      </c>
      <c r="D67" s="8" t="s">
        <v>446</v>
      </c>
      <c r="E67" s="8">
        <v>0.16536945796882505</v>
      </c>
    </row>
    <row r="68" spans="1:5" ht="24.75" x14ac:dyDescent="0.25">
      <c r="A68" s="8" t="s">
        <v>338</v>
      </c>
      <c r="B68" s="8" t="s">
        <v>224</v>
      </c>
      <c r="C68" s="8" t="s">
        <v>234</v>
      </c>
      <c r="D68" s="8" t="s">
        <v>447</v>
      </c>
      <c r="E68" s="8">
        <v>0.16536945796882505</v>
      </c>
    </row>
    <row r="69" spans="1:5" ht="24.75" x14ac:dyDescent="0.25">
      <c r="A69" s="8" t="s">
        <v>338</v>
      </c>
      <c r="B69" s="8" t="s">
        <v>224</v>
      </c>
      <c r="C69" s="8" t="s">
        <v>234</v>
      </c>
      <c r="D69" s="8" t="s">
        <v>448</v>
      </c>
      <c r="E69" s="8">
        <v>0.16536945796882505</v>
      </c>
    </row>
    <row r="70" spans="1:5" ht="24.75" x14ac:dyDescent="0.25">
      <c r="A70" s="8" t="s">
        <v>338</v>
      </c>
      <c r="B70" s="8" t="s">
        <v>224</v>
      </c>
      <c r="C70" s="8" t="s">
        <v>234</v>
      </c>
      <c r="D70" s="8" t="s">
        <v>449</v>
      </c>
      <c r="E70" s="8">
        <v>0.16536945796882505</v>
      </c>
    </row>
    <row r="71" spans="1:5" ht="24.75" x14ac:dyDescent="0.25">
      <c r="A71" s="8" t="s">
        <v>338</v>
      </c>
      <c r="B71" s="8" t="s">
        <v>224</v>
      </c>
      <c r="C71" s="8" t="s">
        <v>234</v>
      </c>
      <c r="D71" s="8" t="s">
        <v>450</v>
      </c>
      <c r="E71" s="8">
        <v>0.16536945796882505</v>
      </c>
    </row>
    <row r="72" spans="1:5" ht="24.75" x14ac:dyDescent="0.25">
      <c r="A72" s="8" t="s">
        <v>338</v>
      </c>
      <c r="B72" s="8" t="s">
        <v>224</v>
      </c>
      <c r="C72" s="8" t="s">
        <v>234</v>
      </c>
      <c r="D72" s="8" t="s">
        <v>451</v>
      </c>
      <c r="E72" s="8">
        <v>0.16536945796882505</v>
      </c>
    </row>
    <row r="73" spans="1:5" ht="24.75" x14ac:dyDescent="0.25">
      <c r="A73" s="8" t="s">
        <v>338</v>
      </c>
      <c r="B73" s="8" t="s">
        <v>224</v>
      </c>
      <c r="C73" s="8" t="s">
        <v>234</v>
      </c>
      <c r="D73" s="8" t="s">
        <v>452</v>
      </c>
      <c r="E73" s="8">
        <v>0.16536945796882505</v>
      </c>
    </row>
    <row r="74" spans="1:5" ht="24.75" x14ac:dyDescent="0.25">
      <c r="A74" s="8" t="s">
        <v>338</v>
      </c>
      <c r="B74" s="8" t="s">
        <v>224</v>
      </c>
      <c r="C74" s="8" t="s">
        <v>234</v>
      </c>
      <c r="D74" s="8" t="s">
        <v>453</v>
      </c>
      <c r="E74" s="8">
        <v>0.16536945796882505</v>
      </c>
    </row>
    <row r="75" spans="1:5" ht="24.75" x14ac:dyDescent="0.25">
      <c r="A75" s="8" t="s">
        <v>338</v>
      </c>
      <c r="B75" s="8" t="s">
        <v>224</v>
      </c>
      <c r="C75" s="8" t="s">
        <v>234</v>
      </c>
      <c r="D75" s="8" t="s">
        <v>454</v>
      </c>
      <c r="E75" s="8">
        <v>0.16536945796882505</v>
      </c>
    </row>
    <row r="76" spans="1:5" ht="24.75" x14ac:dyDescent="0.25">
      <c r="A76" s="8" t="s">
        <v>338</v>
      </c>
      <c r="B76" s="8" t="s">
        <v>224</v>
      </c>
      <c r="C76" s="8" t="s">
        <v>234</v>
      </c>
      <c r="D76" s="8" t="s">
        <v>455</v>
      </c>
      <c r="E76" s="8">
        <v>0.16536945796882505</v>
      </c>
    </row>
    <row r="77" spans="1:5" ht="24.75" x14ac:dyDescent="0.25">
      <c r="A77" s="8" t="s">
        <v>338</v>
      </c>
      <c r="B77" s="8" t="s">
        <v>224</v>
      </c>
      <c r="C77" s="8" t="s">
        <v>234</v>
      </c>
      <c r="D77" s="8" t="s">
        <v>456</v>
      </c>
      <c r="E77" s="8">
        <v>0.16536945796882505</v>
      </c>
    </row>
    <row r="78" spans="1:5" ht="24.75" x14ac:dyDescent="0.25">
      <c r="A78" s="8" t="s">
        <v>338</v>
      </c>
      <c r="B78" s="8" t="s">
        <v>224</v>
      </c>
      <c r="C78" s="8" t="s">
        <v>234</v>
      </c>
      <c r="D78" s="8" t="s">
        <v>457</v>
      </c>
      <c r="E78" s="8">
        <v>0.16536945796882505</v>
      </c>
    </row>
    <row r="79" spans="1:5" ht="24.75" x14ac:dyDescent="0.25">
      <c r="A79" s="8" t="s">
        <v>338</v>
      </c>
      <c r="B79" s="8" t="s">
        <v>224</v>
      </c>
      <c r="C79" s="8" t="s">
        <v>234</v>
      </c>
      <c r="D79" s="8" t="s">
        <v>458</v>
      </c>
      <c r="E79" s="8">
        <v>0.16536945796882505</v>
      </c>
    </row>
    <row r="80" spans="1:5" ht="24.75" x14ac:dyDescent="0.25">
      <c r="A80" s="8" t="s">
        <v>338</v>
      </c>
      <c r="B80" s="8" t="s">
        <v>224</v>
      </c>
      <c r="C80" s="8" t="s">
        <v>234</v>
      </c>
      <c r="D80" s="8" t="s">
        <v>459</v>
      </c>
      <c r="E80" s="8">
        <v>0.19186923480568566</v>
      </c>
    </row>
    <row r="81" spans="1:5" ht="24.75" x14ac:dyDescent="0.25">
      <c r="A81" s="8" t="s">
        <v>338</v>
      </c>
      <c r="B81" s="8" t="s">
        <v>224</v>
      </c>
      <c r="C81" s="8" t="s">
        <v>234</v>
      </c>
      <c r="D81" s="8" t="s">
        <v>460</v>
      </c>
      <c r="E81" s="8">
        <v>0.18635708013824634</v>
      </c>
    </row>
    <row r="82" spans="1:5" ht="24.75" x14ac:dyDescent="0.25">
      <c r="A82" s="8" t="s">
        <v>338</v>
      </c>
      <c r="B82" s="8" t="s">
        <v>224</v>
      </c>
      <c r="C82" s="8" t="s">
        <v>234</v>
      </c>
      <c r="D82" s="8" t="s">
        <v>461</v>
      </c>
      <c r="E82" s="8">
        <v>0.19186923480568566</v>
      </c>
    </row>
    <row r="83" spans="1:5" ht="24.75" x14ac:dyDescent="0.25">
      <c r="A83" s="8" t="s">
        <v>338</v>
      </c>
      <c r="B83" s="8" t="s">
        <v>224</v>
      </c>
      <c r="C83" s="8" t="s">
        <v>234</v>
      </c>
      <c r="D83" s="8" t="s">
        <v>462</v>
      </c>
      <c r="E83" s="8">
        <v>0.19186923480568566</v>
      </c>
    </row>
    <row r="84" spans="1:5" ht="24.75" x14ac:dyDescent="0.25">
      <c r="A84" s="8" t="s">
        <v>338</v>
      </c>
      <c r="B84" s="8" t="s">
        <v>224</v>
      </c>
      <c r="C84" s="8" t="s">
        <v>234</v>
      </c>
      <c r="D84" s="8" t="s">
        <v>463</v>
      </c>
      <c r="E84" s="8">
        <v>0.18635708013824634</v>
      </c>
    </row>
    <row r="85" spans="1:5" ht="24.75" x14ac:dyDescent="0.25">
      <c r="A85" s="8" t="s">
        <v>338</v>
      </c>
      <c r="B85" s="8" t="s">
        <v>224</v>
      </c>
      <c r="C85" s="8" t="s">
        <v>234</v>
      </c>
      <c r="D85" s="8" t="s">
        <v>464</v>
      </c>
      <c r="E85" s="8">
        <v>0.19186923480568566</v>
      </c>
    </row>
    <row r="86" spans="1:5" ht="24.75" x14ac:dyDescent="0.25">
      <c r="A86" s="8" t="s">
        <v>338</v>
      </c>
      <c r="B86" s="8" t="s">
        <v>224</v>
      </c>
      <c r="C86" s="8" t="s">
        <v>234</v>
      </c>
      <c r="D86" s="8" t="s">
        <v>465</v>
      </c>
      <c r="E86" s="8">
        <v>0.19186923480568566</v>
      </c>
    </row>
    <row r="87" spans="1:5" ht="24.75" x14ac:dyDescent="0.25">
      <c r="A87" s="8" t="s">
        <v>338</v>
      </c>
      <c r="B87" s="8" t="s">
        <v>224</v>
      </c>
      <c r="C87" s="8" t="s">
        <v>234</v>
      </c>
      <c r="D87" s="8" t="s">
        <v>466</v>
      </c>
      <c r="E87" s="8">
        <v>0.16536945796882505</v>
      </c>
    </row>
    <row r="88" spans="1:5" ht="24.75" x14ac:dyDescent="0.25">
      <c r="A88" s="8" t="s">
        <v>338</v>
      </c>
      <c r="B88" s="8" t="s">
        <v>224</v>
      </c>
      <c r="C88" s="8" t="s">
        <v>234</v>
      </c>
      <c r="D88" s="8" t="s">
        <v>467</v>
      </c>
      <c r="E88" s="8">
        <v>0.16536945796882505</v>
      </c>
    </row>
    <row r="89" spans="1:5" ht="24.75" x14ac:dyDescent="0.25">
      <c r="A89" s="8" t="s">
        <v>338</v>
      </c>
      <c r="B89" s="8" t="s">
        <v>224</v>
      </c>
      <c r="C89" s="8" t="s">
        <v>234</v>
      </c>
      <c r="D89" s="8" t="s">
        <v>468</v>
      </c>
      <c r="E89" s="8">
        <v>0.16536945796882505</v>
      </c>
    </row>
    <row r="90" spans="1:5" ht="24.75" x14ac:dyDescent="0.25">
      <c r="A90" s="8" t="s">
        <v>338</v>
      </c>
      <c r="B90" s="8" t="s">
        <v>224</v>
      </c>
      <c r="C90" s="8" t="s">
        <v>234</v>
      </c>
      <c r="D90" s="8" t="s">
        <v>469</v>
      </c>
      <c r="E90" s="8">
        <v>0.16536945796882505</v>
      </c>
    </row>
    <row r="91" spans="1:5" ht="24.75" x14ac:dyDescent="0.25">
      <c r="A91" s="8" t="s">
        <v>338</v>
      </c>
      <c r="B91" s="8" t="s">
        <v>224</v>
      </c>
      <c r="C91" s="8" t="s">
        <v>234</v>
      </c>
      <c r="D91" s="8" t="s">
        <v>470</v>
      </c>
      <c r="E91" s="8">
        <v>0.16536945796882505</v>
      </c>
    </row>
    <row r="92" spans="1:5" ht="24.75" x14ac:dyDescent="0.25">
      <c r="A92" s="8" t="s">
        <v>338</v>
      </c>
      <c r="B92" s="8" t="s">
        <v>224</v>
      </c>
      <c r="C92" s="8" t="s">
        <v>234</v>
      </c>
      <c r="D92" s="8" t="s">
        <v>471</v>
      </c>
      <c r="E92" s="8">
        <v>0.19186923480568566</v>
      </c>
    </row>
    <row r="93" spans="1:5" ht="24.75" x14ac:dyDescent="0.25">
      <c r="A93" s="8" t="s">
        <v>338</v>
      </c>
      <c r="B93" s="8" t="s">
        <v>224</v>
      </c>
      <c r="C93" s="8" t="s">
        <v>234</v>
      </c>
      <c r="D93" s="8" t="s">
        <v>472</v>
      </c>
      <c r="E93" s="8">
        <v>0.19186923480568566</v>
      </c>
    </row>
    <row r="94" spans="1:5" ht="24.75" x14ac:dyDescent="0.25">
      <c r="A94" s="8" t="s">
        <v>338</v>
      </c>
      <c r="B94" s="8" t="s">
        <v>224</v>
      </c>
      <c r="C94" s="8" t="s">
        <v>234</v>
      </c>
      <c r="D94" s="8" t="s">
        <v>473</v>
      </c>
      <c r="E94" s="8">
        <v>0.19186923480568566</v>
      </c>
    </row>
    <row r="95" spans="1:5" ht="24.75" x14ac:dyDescent="0.25">
      <c r="A95" s="8" t="s">
        <v>338</v>
      </c>
      <c r="B95" s="8" t="s">
        <v>224</v>
      </c>
      <c r="C95" s="8" t="s">
        <v>234</v>
      </c>
      <c r="D95" s="8" t="s">
        <v>474</v>
      </c>
      <c r="E95" s="8">
        <v>0.19186923480568566</v>
      </c>
    </row>
    <row r="96" spans="1:5" ht="24.75" x14ac:dyDescent="0.25">
      <c r="A96" s="8" t="s">
        <v>338</v>
      </c>
      <c r="B96" s="8" t="s">
        <v>224</v>
      </c>
      <c r="C96" s="8" t="s">
        <v>234</v>
      </c>
      <c r="D96" s="8" t="s">
        <v>475</v>
      </c>
      <c r="E96" s="8">
        <v>0.19186923480568566</v>
      </c>
    </row>
    <row r="97" spans="1:5" ht="24.75" x14ac:dyDescent="0.25">
      <c r="A97" s="8" t="s">
        <v>338</v>
      </c>
      <c r="B97" s="8" t="s">
        <v>224</v>
      </c>
      <c r="C97" s="8" t="s">
        <v>234</v>
      </c>
      <c r="D97" s="8" t="s">
        <v>476</v>
      </c>
      <c r="E97" s="8">
        <v>0.19186923480568566</v>
      </c>
    </row>
    <row r="98" spans="1:5" ht="24.75" x14ac:dyDescent="0.25">
      <c r="A98" s="8" t="s">
        <v>338</v>
      </c>
      <c r="B98" s="8" t="s">
        <v>224</v>
      </c>
      <c r="C98" s="8" t="s">
        <v>234</v>
      </c>
      <c r="D98" s="8" t="s">
        <v>477</v>
      </c>
      <c r="E98" s="8">
        <v>0.18635708013824634</v>
      </c>
    </row>
    <row r="99" spans="1:5" ht="24.75" x14ac:dyDescent="0.25">
      <c r="A99" s="8" t="s">
        <v>338</v>
      </c>
      <c r="B99" s="8" t="s">
        <v>224</v>
      </c>
      <c r="C99" s="8" t="s">
        <v>234</v>
      </c>
      <c r="D99" s="8" t="s">
        <v>478</v>
      </c>
      <c r="E99" s="8">
        <v>0.19186923480568566</v>
      </c>
    </row>
    <row r="100" spans="1:5" ht="24.75" x14ac:dyDescent="0.25">
      <c r="A100" s="8" t="s">
        <v>338</v>
      </c>
      <c r="B100" s="8" t="s">
        <v>224</v>
      </c>
      <c r="C100" s="8" t="s">
        <v>234</v>
      </c>
      <c r="D100" s="8" t="s">
        <v>479</v>
      </c>
      <c r="E100" s="8">
        <v>0.19186923480568566</v>
      </c>
    </row>
    <row r="101" spans="1:5" ht="24.75" x14ac:dyDescent="0.25">
      <c r="A101" s="8" t="s">
        <v>338</v>
      </c>
      <c r="B101" s="8" t="s">
        <v>224</v>
      </c>
      <c r="C101" s="8" t="s">
        <v>234</v>
      </c>
      <c r="D101" s="8" t="s">
        <v>480</v>
      </c>
      <c r="E101" s="8">
        <v>0.16536945796882505</v>
      </c>
    </row>
    <row r="102" spans="1:5" ht="24.75" x14ac:dyDescent="0.25">
      <c r="A102" s="8" t="s">
        <v>338</v>
      </c>
      <c r="B102" s="8" t="s">
        <v>224</v>
      </c>
      <c r="C102" s="8" t="s">
        <v>234</v>
      </c>
      <c r="D102" s="8" t="s">
        <v>481</v>
      </c>
      <c r="E102" s="8">
        <v>0.18635708013824634</v>
      </c>
    </row>
    <row r="103" spans="1:5" ht="24.75" x14ac:dyDescent="0.25">
      <c r="A103" s="8" t="s">
        <v>338</v>
      </c>
      <c r="B103" s="8" t="s">
        <v>224</v>
      </c>
      <c r="C103" s="8" t="s">
        <v>234</v>
      </c>
      <c r="D103" s="8" t="s">
        <v>482</v>
      </c>
      <c r="E103" s="8">
        <v>0.16611866081916382</v>
      </c>
    </row>
    <row r="104" spans="1:5" ht="24.75" x14ac:dyDescent="0.25">
      <c r="A104" s="8" t="s">
        <v>338</v>
      </c>
      <c r="B104" s="8" t="s">
        <v>224</v>
      </c>
      <c r="C104" s="8" t="s">
        <v>234</v>
      </c>
      <c r="D104" s="8" t="s">
        <v>483</v>
      </c>
      <c r="E104" s="8">
        <v>0.16611866081916382</v>
      </c>
    </row>
    <row r="105" spans="1:5" ht="24.75" x14ac:dyDescent="0.25">
      <c r="A105" s="8" t="s">
        <v>338</v>
      </c>
      <c r="B105" s="8" t="s">
        <v>224</v>
      </c>
      <c r="C105" s="8" t="s">
        <v>234</v>
      </c>
      <c r="D105" s="8" t="s">
        <v>484</v>
      </c>
      <c r="E105" s="8">
        <v>0.16611866081916382</v>
      </c>
    </row>
    <row r="106" spans="1:5" ht="24.75" x14ac:dyDescent="0.25">
      <c r="A106" s="8" t="s">
        <v>338</v>
      </c>
      <c r="B106" s="8" t="s">
        <v>224</v>
      </c>
      <c r="C106" s="8" t="s">
        <v>234</v>
      </c>
      <c r="D106" s="8" t="s">
        <v>485</v>
      </c>
      <c r="E106" s="8">
        <v>0.16611866081916382</v>
      </c>
    </row>
    <row r="107" spans="1:5" ht="24.75" x14ac:dyDescent="0.25">
      <c r="A107" s="8" t="s">
        <v>338</v>
      </c>
      <c r="B107" s="8" t="s">
        <v>224</v>
      </c>
      <c r="C107" s="8" t="s">
        <v>234</v>
      </c>
      <c r="D107" s="8" t="s">
        <v>486</v>
      </c>
      <c r="E107" s="8">
        <v>0.16611866081916382</v>
      </c>
    </row>
    <row r="108" spans="1:5" ht="24.75" x14ac:dyDescent="0.25">
      <c r="A108" s="8" t="s">
        <v>338</v>
      </c>
      <c r="B108" s="8" t="s">
        <v>224</v>
      </c>
      <c r="C108" s="8" t="s">
        <v>234</v>
      </c>
      <c r="D108" s="8" t="s">
        <v>487</v>
      </c>
      <c r="E108" s="8">
        <v>0.16611866081916382</v>
      </c>
    </row>
    <row r="109" spans="1:5" ht="24.75" x14ac:dyDescent="0.25">
      <c r="A109" s="8" t="s">
        <v>338</v>
      </c>
      <c r="B109" s="8" t="s">
        <v>224</v>
      </c>
      <c r="C109" s="8" t="s">
        <v>234</v>
      </c>
      <c r="D109" s="8" t="s">
        <v>488</v>
      </c>
      <c r="E109" s="8">
        <v>0.16611866081916382</v>
      </c>
    </row>
    <row r="110" spans="1:5" ht="24.75" x14ac:dyDescent="0.25">
      <c r="A110" s="8" t="s">
        <v>338</v>
      </c>
      <c r="B110" s="8" t="s">
        <v>224</v>
      </c>
      <c r="C110" s="8" t="s">
        <v>234</v>
      </c>
      <c r="D110" s="8" t="s">
        <v>489</v>
      </c>
      <c r="E110" s="8">
        <v>0.16611866081916382</v>
      </c>
    </row>
    <row r="111" spans="1:5" ht="24.75" x14ac:dyDescent="0.25">
      <c r="A111" s="8" t="s">
        <v>338</v>
      </c>
      <c r="B111" s="8" t="s">
        <v>224</v>
      </c>
      <c r="C111" s="8" t="s">
        <v>234</v>
      </c>
      <c r="D111" s="8" t="s">
        <v>490</v>
      </c>
      <c r="E111" s="8">
        <v>0.16611866081916382</v>
      </c>
    </row>
    <row r="112" spans="1:5" ht="24.75" x14ac:dyDescent="0.25">
      <c r="A112" s="8" t="s">
        <v>338</v>
      </c>
      <c r="B112" s="8" t="s">
        <v>224</v>
      </c>
      <c r="C112" s="8" t="s">
        <v>234</v>
      </c>
      <c r="D112" s="8" t="s">
        <v>491</v>
      </c>
      <c r="E112" s="8">
        <v>0.16611866081916382</v>
      </c>
    </row>
    <row r="113" spans="1:5" ht="24.75" x14ac:dyDescent="0.25">
      <c r="A113" s="8" t="s">
        <v>338</v>
      </c>
      <c r="B113" s="8" t="s">
        <v>224</v>
      </c>
      <c r="C113" s="8" t="s">
        <v>234</v>
      </c>
      <c r="D113" s="8" t="s">
        <v>492</v>
      </c>
      <c r="E113" s="8">
        <v>0.16611866081916382</v>
      </c>
    </row>
    <row r="114" spans="1:5" ht="24.75" x14ac:dyDescent="0.25">
      <c r="A114" s="8" t="s">
        <v>338</v>
      </c>
      <c r="B114" s="8" t="s">
        <v>224</v>
      </c>
      <c r="C114" s="8" t="s">
        <v>234</v>
      </c>
      <c r="D114" s="8" t="s">
        <v>493</v>
      </c>
      <c r="E114" s="8">
        <v>0.16611866081916382</v>
      </c>
    </row>
    <row r="115" spans="1:5" ht="24.75" x14ac:dyDescent="0.25">
      <c r="A115" s="8" t="s">
        <v>338</v>
      </c>
      <c r="B115" s="8" t="s">
        <v>224</v>
      </c>
      <c r="C115" s="8" t="s">
        <v>234</v>
      </c>
      <c r="D115" s="8" t="s">
        <v>494</v>
      </c>
      <c r="E115" s="8">
        <v>0.16611866081916382</v>
      </c>
    </row>
    <row r="116" spans="1:5" ht="24.75" x14ac:dyDescent="0.25">
      <c r="A116" s="8" t="s">
        <v>338</v>
      </c>
      <c r="B116" s="8" t="s">
        <v>224</v>
      </c>
      <c r="C116" s="8" t="s">
        <v>234</v>
      </c>
      <c r="D116" s="8" t="s">
        <v>495</v>
      </c>
      <c r="E116" s="8">
        <v>0.16611866081916382</v>
      </c>
    </row>
    <row r="117" spans="1:5" ht="24.75" x14ac:dyDescent="0.25">
      <c r="A117" s="8" t="s">
        <v>338</v>
      </c>
      <c r="B117" s="8" t="s">
        <v>224</v>
      </c>
      <c r="C117" s="8" t="s">
        <v>234</v>
      </c>
      <c r="D117" s="8" t="s">
        <v>496</v>
      </c>
      <c r="E117" s="8">
        <v>0.16611866081916382</v>
      </c>
    </row>
    <row r="118" spans="1:5" ht="24.75" x14ac:dyDescent="0.25">
      <c r="A118" s="8" t="s">
        <v>338</v>
      </c>
      <c r="B118" s="8" t="s">
        <v>224</v>
      </c>
      <c r="C118" s="8" t="s">
        <v>234</v>
      </c>
      <c r="D118" s="8" t="s">
        <v>497</v>
      </c>
      <c r="E118" s="8">
        <v>0.16611866081916382</v>
      </c>
    </row>
    <row r="119" spans="1:5" ht="24.75" x14ac:dyDescent="0.25">
      <c r="A119" s="8" t="s">
        <v>338</v>
      </c>
      <c r="B119" s="8" t="s">
        <v>224</v>
      </c>
      <c r="C119" s="8" t="s">
        <v>234</v>
      </c>
      <c r="D119" s="8" t="s">
        <v>498</v>
      </c>
      <c r="E119" s="8">
        <v>0.16611866081916382</v>
      </c>
    </row>
    <row r="120" spans="1:5" ht="24.75" x14ac:dyDescent="0.25">
      <c r="A120" s="8" t="s">
        <v>338</v>
      </c>
      <c r="B120" s="8" t="s">
        <v>224</v>
      </c>
      <c r="C120" s="8" t="s">
        <v>234</v>
      </c>
      <c r="D120" s="8" t="s">
        <v>499</v>
      </c>
      <c r="E120" s="8">
        <v>0.16611866081916382</v>
      </c>
    </row>
    <row r="121" spans="1:5" ht="24.75" x14ac:dyDescent="0.25">
      <c r="A121" s="8" t="s">
        <v>338</v>
      </c>
      <c r="B121" s="8" t="s">
        <v>224</v>
      </c>
      <c r="C121" s="8" t="s">
        <v>234</v>
      </c>
      <c r="D121" s="8" t="s">
        <v>500</v>
      </c>
      <c r="E121" s="8">
        <v>0.16611866081916382</v>
      </c>
    </row>
    <row r="122" spans="1:5" ht="24.75" x14ac:dyDescent="0.25">
      <c r="A122" s="8" t="s">
        <v>338</v>
      </c>
      <c r="B122" s="8" t="s">
        <v>224</v>
      </c>
      <c r="C122" s="8" t="s">
        <v>234</v>
      </c>
      <c r="D122" s="8" t="s">
        <v>501</v>
      </c>
      <c r="E122" s="8">
        <v>0.16611866081916382</v>
      </c>
    </row>
    <row r="123" spans="1:5" ht="24.75" x14ac:dyDescent="0.25">
      <c r="A123" s="8" t="s">
        <v>338</v>
      </c>
      <c r="B123" s="8" t="s">
        <v>224</v>
      </c>
      <c r="C123" s="8" t="s">
        <v>234</v>
      </c>
      <c r="D123" s="8" t="s">
        <v>502</v>
      </c>
      <c r="E123" s="8">
        <v>0.16611866081916382</v>
      </c>
    </row>
    <row r="124" spans="1:5" ht="24.75" x14ac:dyDescent="0.25">
      <c r="A124" s="8" t="s">
        <v>338</v>
      </c>
      <c r="B124" s="8" t="s">
        <v>224</v>
      </c>
      <c r="C124" s="8" t="s">
        <v>234</v>
      </c>
      <c r="D124" s="8" t="s">
        <v>503</v>
      </c>
      <c r="E124" s="8">
        <v>0.16611866081916382</v>
      </c>
    </row>
    <row r="125" spans="1:5" ht="24.75" x14ac:dyDescent="0.25">
      <c r="A125" s="8" t="s">
        <v>338</v>
      </c>
      <c r="B125" s="8" t="s">
        <v>224</v>
      </c>
      <c r="C125" s="8" t="s">
        <v>234</v>
      </c>
      <c r="D125" s="8" t="s">
        <v>504</v>
      </c>
      <c r="E125" s="8">
        <v>0.16611866081916382</v>
      </c>
    </row>
    <row r="126" spans="1:5" ht="24.75" x14ac:dyDescent="0.25">
      <c r="A126" s="8" t="s">
        <v>338</v>
      </c>
      <c r="B126" s="8" t="s">
        <v>224</v>
      </c>
      <c r="C126" s="8" t="s">
        <v>234</v>
      </c>
      <c r="D126" s="8" t="s">
        <v>505</v>
      </c>
      <c r="E126" s="8">
        <v>0.16611866081916382</v>
      </c>
    </row>
    <row r="127" spans="1:5" ht="24.75" x14ac:dyDescent="0.25">
      <c r="A127" s="8" t="s">
        <v>338</v>
      </c>
      <c r="B127" s="8" t="s">
        <v>224</v>
      </c>
      <c r="C127" s="8" t="s">
        <v>234</v>
      </c>
      <c r="D127" s="8" t="s">
        <v>506</v>
      </c>
      <c r="E127" s="8">
        <v>0.16611866081916382</v>
      </c>
    </row>
    <row r="128" spans="1:5" ht="24.75" x14ac:dyDescent="0.25">
      <c r="A128" s="8" t="s">
        <v>338</v>
      </c>
      <c r="B128" s="8" t="s">
        <v>224</v>
      </c>
      <c r="C128" s="8" t="s">
        <v>234</v>
      </c>
      <c r="D128" s="8" t="s">
        <v>507</v>
      </c>
      <c r="E128" s="8">
        <v>0.16611866081916382</v>
      </c>
    </row>
    <row r="129" spans="1:5" ht="24.75" x14ac:dyDescent="0.25">
      <c r="A129" s="8" t="s">
        <v>338</v>
      </c>
      <c r="B129" s="8" t="s">
        <v>224</v>
      </c>
      <c r="C129" s="8" t="s">
        <v>234</v>
      </c>
      <c r="D129" s="8" t="s">
        <v>508</v>
      </c>
      <c r="E129" s="8">
        <v>0.16611866081916382</v>
      </c>
    </row>
    <row r="130" spans="1:5" ht="24.75" x14ac:dyDescent="0.25">
      <c r="A130" s="8" t="s">
        <v>338</v>
      </c>
      <c r="B130" s="8" t="s">
        <v>224</v>
      </c>
      <c r="C130" s="8" t="s">
        <v>234</v>
      </c>
      <c r="D130" s="8" t="s">
        <v>509</v>
      </c>
      <c r="E130" s="8">
        <v>0.16611866081916382</v>
      </c>
    </row>
    <row r="131" spans="1:5" ht="24.75" x14ac:dyDescent="0.25">
      <c r="A131" s="8" t="s">
        <v>338</v>
      </c>
      <c r="B131" s="8" t="s">
        <v>224</v>
      </c>
      <c r="C131" s="8" t="s">
        <v>234</v>
      </c>
      <c r="D131" s="8" t="s">
        <v>510</v>
      </c>
      <c r="E131" s="8">
        <v>0.16611866081916382</v>
      </c>
    </row>
    <row r="132" spans="1:5" ht="24.75" x14ac:dyDescent="0.25">
      <c r="A132" s="8" t="s">
        <v>338</v>
      </c>
      <c r="B132" s="8" t="s">
        <v>224</v>
      </c>
      <c r="C132" s="8" t="s">
        <v>234</v>
      </c>
      <c r="D132" s="8" t="s">
        <v>511</v>
      </c>
      <c r="E132" s="8">
        <v>0.16611866081916382</v>
      </c>
    </row>
    <row r="133" spans="1:5" ht="24.75" x14ac:dyDescent="0.25">
      <c r="A133" s="8" t="s">
        <v>338</v>
      </c>
      <c r="B133" s="8" t="s">
        <v>224</v>
      </c>
      <c r="C133" s="8" t="s">
        <v>234</v>
      </c>
      <c r="D133" s="8" t="s">
        <v>512</v>
      </c>
      <c r="E133" s="8">
        <v>0.18012773168986937</v>
      </c>
    </row>
    <row r="134" spans="1:5" ht="24.75" x14ac:dyDescent="0.25">
      <c r="A134" s="8" t="s">
        <v>338</v>
      </c>
      <c r="B134" s="8" t="s">
        <v>224</v>
      </c>
      <c r="C134" s="8" t="s">
        <v>234</v>
      </c>
      <c r="D134" s="8" t="s">
        <v>513</v>
      </c>
      <c r="E134" s="8">
        <v>0.18012773168986937</v>
      </c>
    </row>
    <row r="135" spans="1:5" ht="24.75" x14ac:dyDescent="0.25">
      <c r="A135" s="8" t="s">
        <v>338</v>
      </c>
      <c r="B135" s="8" t="s">
        <v>224</v>
      </c>
      <c r="C135" s="8" t="s">
        <v>234</v>
      </c>
      <c r="D135" s="8" t="s">
        <v>514</v>
      </c>
      <c r="E135" s="8">
        <v>0.18012773168986937</v>
      </c>
    </row>
    <row r="136" spans="1:5" ht="24.75" x14ac:dyDescent="0.25">
      <c r="A136" s="8" t="s">
        <v>338</v>
      </c>
      <c r="B136" s="8" t="s">
        <v>224</v>
      </c>
      <c r="C136" s="8" t="s">
        <v>234</v>
      </c>
      <c r="D136" s="8" t="s">
        <v>515</v>
      </c>
      <c r="E136" s="8">
        <v>0.18012773168986937</v>
      </c>
    </row>
    <row r="137" spans="1:5" ht="24.75" x14ac:dyDescent="0.25">
      <c r="A137" s="8" t="s">
        <v>338</v>
      </c>
      <c r="B137" s="8" t="s">
        <v>224</v>
      </c>
      <c r="C137" s="8" t="s">
        <v>234</v>
      </c>
      <c r="D137" s="8" t="s">
        <v>516</v>
      </c>
      <c r="E137" s="8">
        <v>0.18012773168986937</v>
      </c>
    </row>
    <row r="138" spans="1:5" ht="24.75" x14ac:dyDescent="0.25">
      <c r="A138" s="8" t="s">
        <v>338</v>
      </c>
      <c r="B138" s="8" t="s">
        <v>224</v>
      </c>
      <c r="C138" s="8" t="s">
        <v>234</v>
      </c>
      <c r="D138" s="8" t="s">
        <v>517</v>
      </c>
      <c r="E138" s="8">
        <v>0.18012773168986937</v>
      </c>
    </row>
    <row r="139" spans="1:5" ht="24.75" x14ac:dyDescent="0.25">
      <c r="A139" s="8" t="s">
        <v>338</v>
      </c>
      <c r="B139" s="8" t="s">
        <v>224</v>
      </c>
      <c r="C139" s="8" t="s">
        <v>234</v>
      </c>
      <c r="D139" s="8" t="s">
        <v>518</v>
      </c>
      <c r="E139" s="8">
        <v>0.18012773168986937</v>
      </c>
    </row>
    <row r="140" spans="1:5" ht="24.75" x14ac:dyDescent="0.25">
      <c r="A140" s="8" t="s">
        <v>338</v>
      </c>
      <c r="B140" s="8" t="s">
        <v>224</v>
      </c>
      <c r="C140" s="8" t="s">
        <v>234</v>
      </c>
      <c r="D140" s="8" t="s">
        <v>519</v>
      </c>
      <c r="E140" s="8">
        <v>0.18012773168986937</v>
      </c>
    </row>
    <row r="141" spans="1:5" ht="24.75" x14ac:dyDescent="0.25">
      <c r="A141" s="8" t="s">
        <v>338</v>
      </c>
      <c r="B141" s="8" t="s">
        <v>224</v>
      </c>
      <c r="C141" s="8" t="s">
        <v>234</v>
      </c>
      <c r="D141" s="8" t="s">
        <v>520</v>
      </c>
      <c r="E141" s="8">
        <v>0.18012773168986937</v>
      </c>
    </row>
    <row r="142" spans="1:5" ht="24.75" x14ac:dyDescent="0.25">
      <c r="A142" s="8" t="s">
        <v>338</v>
      </c>
      <c r="B142" s="8" t="s">
        <v>224</v>
      </c>
      <c r="C142" s="8" t="s">
        <v>234</v>
      </c>
      <c r="D142" s="8" t="s">
        <v>521</v>
      </c>
      <c r="E142" s="8">
        <v>0.18012773168986937</v>
      </c>
    </row>
    <row r="143" spans="1:5" ht="24.75" x14ac:dyDescent="0.25">
      <c r="A143" s="8" t="s">
        <v>338</v>
      </c>
      <c r="B143" s="8" t="s">
        <v>224</v>
      </c>
      <c r="C143" s="8" t="s">
        <v>234</v>
      </c>
      <c r="D143" s="8" t="s">
        <v>522</v>
      </c>
      <c r="E143" s="8">
        <v>0.18012773168986937</v>
      </c>
    </row>
    <row r="144" spans="1:5" ht="24.75" x14ac:dyDescent="0.25">
      <c r="A144" s="8" t="s">
        <v>338</v>
      </c>
      <c r="B144" s="8" t="s">
        <v>224</v>
      </c>
      <c r="C144" s="8" t="s">
        <v>234</v>
      </c>
      <c r="D144" s="8" t="s">
        <v>523</v>
      </c>
      <c r="E144" s="8">
        <v>0.18012773168986937</v>
      </c>
    </row>
    <row r="145" spans="1:5" ht="24.75" x14ac:dyDescent="0.25">
      <c r="A145" s="8" t="s">
        <v>338</v>
      </c>
      <c r="B145" s="8" t="s">
        <v>224</v>
      </c>
      <c r="C145" s="8" t="s">
        <v>234</v>
      </c>
      <c r="D145" s="8" t="s">
        <v>524</v>
      </c>
      <c r="E145" s="8">
        <v>0.18012773168986937</v>
      </c>
    </row>
    <row r="146" spans="1:5" ht="24.75" x14ac:dyDescent="0.25">
      <c r="A146" s="8" t="s">
        <v>338</v>
      </c>
      <c r="B146" s="8" t="s">
        <v>224</v>
      </c>
      <c r="C146" s="8" t="s">
        <v>234</v>
      </c>
      <c r="D146" s="8" t="s">
        <v>525</v>
      </c>
      <c r="E146" s="8">
        <v>0.18012773168986937</v>
      </c>
    </row>
    <row r="147" spans="1:5" ht="24.75" x14ac:dyDescent="0.25">
      <c r="A147" s="8" t="s">
        <v>338</v>
      </c>
      <c r="B147" s="8" t="s">
        <v>224</v>
      </c>
      <c r="C147" s="8" t="s">
        <v>234</v>
      </c>
      <c r="D147" s="8" t="s">
        <v>526</v>
      </c>
      <c r="E147" s="8">
        <v>0.18012773168986937</v>
      </c>
    </row>
    <row r="148" spans="1:5" ht="24.75" x14ac:dyDescent="0.25">
      <c r="A148" s="8" t="s">
        <v>338</v>
      </c>
      <c r="B148" s="8" t="s">
        <v>224</v>
      </c>
      <c r="C148" s="8" t="s">
        <v>234</v>
      </c>
      <c r="D148" s="8" t="s">
        <v>527</v>
      </c>
      <c r="E148" s="8">
        <v>0.18012773168986937</v>
      </c>
    </row>
    <row r="149" spans="1:5" ht="24.75" x14ac:dyDescent="0.25">
      <c r="A149" s="8" t="s">
        <v>338</v>
      </c>
      <c r="B149" s="8" t="s">
        <v>224</v>
      </c>
      <c r="C149" s="8" t="s">
        <v>234</v>
      </c>
      <c r="D149" s="8" t="s">
        <v>528</v>
      </c>
      <c r="E149" s="8">
        <v>0.18012773168986937</v>
      </c>
    </row>
    <row r="150" spans="1:5" ht="24.75" x14ac:dyDescent="0.25">
      <c r="A150" s="8" t="s">
        <v>338</v>
      </c>
      <c r="B150" s="8" t="s">
        <v>224</v>
      </c>
      <c r="C150" s="8" t="s">
        <v>234</v>
      </c>
      <c r="D150" s="8" t="s">
        <v>529</v>
      </c>
      <c r="E150" s="8">
        <v>0.18012773168986937</v>
      </c>
    </row>
    <row r="151" spans="1:5" ht="24.75" x14ac:dyDescent="0.25">
      <c r="A151" s="8" t="s">
        <v>338</v>
      </c>
      <c r="B151" s="8" t="s">
        <v>224</v>
      </c>
      <c r="C151" s="8" t="s">
        <v>234</v>
      </c>
      <c r="D151" s="8" t="s">
        <v>530</v>
      </c>
      <c r="E151" s="8">
        <v>0.18012773168986937</v>
      </c>
    </row>
    <row r="152" spans="1:5" ht="24.75" x14ac:dyDescent="0.25">
      <c r="A152" s="8" t="s">
        <v>338</v>
      </c>
      <c r="B152" s="8" t="s">
        <v>224</v>
      </c>
      <c r="C152" s="8" t="s">
        <v>234</v>
      </c>
      <c r="D152" s="8" t="s">
        <v>531</v>
      </c>
      <c r="E152" s="8">
        <v>0.18012773168986937</v>
      </c>
    </row>
    <row r="153" spans="1:5" ht="24.75" x14ac:dyDescent="0.25">
      <c r="A153" s="8" t="s">
        <v>338</v>
      </c>
      <c r="B153" s="8" t="s">
        <v>224</v>
      </c>
      <c r="C153" s="8" t="s">
        <v>234</v>
      </c>
      <c r="D153" s="8" t="s">
        <v>532</v>
      </c>
      <c r="E153" s="8">
        <v>0.18012773168986937</v>
      </c>
    </row>
    <row r="154" spans="1:5" ht="24.75" x14ac:dyDescent="0.25">
      <c r="A154" s="8" t="s">
        <v>338</v>
      </c>
      <c r="B154" s="8" t="s">
        <v>224</v>
      </c>
      <c r="C154" s="8" t="s">
        <v>234</v>
      </c>
      <c r="D154" s="8" t="s">
        <v>533</v>
      </c>
      <c r="E154" s="8">
        <v>0.18012773168986937</v>
      </c>
    </row>
    <row r="155" spans="1:5" ht="24.75" x14ac:dyDescent="0.25">
      <c r="A155" s="8" t="s">
        <v>338</v>
      </c>
      <c r="B155" s="8" t="s">
        <v>224</v>
      </c>
      <c r="C155" s="8" t="s">
        <v>234</v>
      </c>
      <c r="D155" s="8" t="s">
        <v>534</v>
      </c>
      <c r="E155" s="8">
        <v>0.18012773168986937</v>
      </c>
    </row>
    <row r="156" spans="1:5" ht="24.75" x14ac:dyDescent="0.25">
      <c r="A156" s="8" t="s">
        <v>338</v>
      </c>
      <c r="B156" s="8" t="s">
        <v>224</v>
      </c>
      <c r="C156" s="8" t="s">
        <v>234</v>
      </c>
      <c r="D156" s="8" t="s">
        <v>535</v>
      </c>
      <c r="E156" s="8">
        <v>0.18012773168986937</v>
      </c>
    </row>
    <row r="157" spans="1:5" ht="24.75" x14ac:dyDescent="0.25">
      <c r="A157" s="8" t="s">
        <v>338</v>
      </c>
      <c r="B157" s="8" t="s">
        <v>224</v>
      </c>
      <c r="C157" s="8" t="s">
        <v>234</v>
      </c>
      <c r="D157" s="8" t="s">
        <v>536</v>
      </c>
      <c r="E157" s="8">
        <v>0.18012773168986937</v>
      </c>
    </row>
    <row r="158" spans="1:5" ht="24.75" x14ac:dyDescent="0.25">
      <c r="A158" s="8" t="s">
        <v>338</v>
      </c>
      <c r="B158" s="8" t="s">
        <v>224</v>
      </c>
      <c r="C158" s="8" t="s">
        <v>234</v>
      </c>
      <c r="D158" s="8" t="s">
        <v>537</v>
      </c>
      <c r="E158" s="8">
        <v>0.18012773168986937</v>
      </c>
    </row>
    <row r="159" spans="1:5" ht="24.75" x14ac:dyDescent="0.25">
      <c r="A159" s="8" t="s">
        <v>338</v>
      </c>
      <c r="B159" s="8" t="s">
        <v>224</v>
      </c>
      <c r="C159" s="8" t="s">
        <v>234</v>
      </c>
      <c r="D159" s="8" t="s">
        <v>538</v>
      </c>
      <c r="E159" s="8">
        <v>0.18012773168986937</v>
      </c>
    </row>
    <row r="160" spans="1:5" ht="24.75" x14ac:dyDescent="0.25">
      <c r="A160" s="8" t="s">
        <v>338</v>
      </c>
      <c r="B160" s="8" t="s">
        <v>224</v>
      </c>
      <c r="C160" s="8" t="s">
        <v>234</v>
      </c>
      <c r="D160" s="8" t="s">
        <v>539</v>
      </c>
      <c r="E160" s="8">
        <v>0.18012773168986937</v>
      </c>
    </row>
    <row r="161" spans="1:5" ht="24.75" x14ac:dyDescent="0.25">
      <c r="A161" s="8" t="s">
        <v>338</v>
      </c>
      <c r="B161" s="8" t="s">
        <v>224</v>
      </c>
      <c r="C161" s="8" t="s">
        <v>234</v>
      </c>
      <c r="D161" s="8" t="s">
        <v>540</v>
      </c>
      <c r="E161" s="8">
        <v>0.18012773168986937</v>
      </c>
    </row>
    <row r="162" spans="1:5" ht="24.75" x14ac:dyDescent="0.25">
      <c r="A162" s="8" t="s">
        <v>338</v>
      </c>
      <c r="B162" s="8" t="s">
        <v>224</v>
      </c>
      <c r="C162" s="8" t="s">
        <v>234</v>
      </c>
      <c r="D162" s="8" t="s">
        <v>541</v>
      </c>
      <c r="E162" s="8">
        <v>0.18012773168986937</v>
      </c>
    </row>
    <row r="163" spans="1:5" ht="24.75" x14ac:dyDescent="0.25">
      <c r="A163" s="8" t="s">
        <v>338</v>
      </c>
      <c r="B163" s="8" t="s">
        <v>224</v>
      </c>
      <c r="C163" s="8" t="s">
        <v>234</v>
      </c>
      <c r="D163" s="8" t="s">
        <v>542</v>
      </c>
      <c r="E163" s="8">
        <v>0.18012773168986937</v>
      </c>
    </row>
    <row r="164" spans="1:5" ht="24.75" x14ac:dyDescent="0.25">
      <c r="A164" s="8" t="s">
        <v>338</v>
      </c>
      <c r="B164" s="8" t="s">
        <v>224</v>
      </c>
      <c r="C164" s="8" t="s">
        <v>234</v>
      </c>
      <c r="D164" s="8" t="s">
        <v>543</v>
      </c>
      <c r="E164" s="8">
        <v>0.18012773168986937</v>
      </c>
    </row>
    <row r="165" spans="1:5" ht="24.75" x14ac:dyDescent="0.25">
      <c r="A165" s="8" t="s">
        <v>338</v>
      </c>
      <c r="B165" s="8" t="s">
        <v>224</v>
      </c>
      <c r="C165" s="8" t="s">
        <v>234</v>
      </c>
      <c r="D165" s="8" t="s">
        <v>544</v>
      </c>
      <c r="E165" s="8">
        <v>0.18012773168986937</v>
      </c>
    </row>
    <row r="166" spans="1:5" ht="24.75" x14ac:dyDescent="0.25">
      <c r="A166" s="8" t="s">
        <v>338</v>
      </c>
      <c r="B166" s="8" t="s">
        <v>224</v>
      </c>
      <c r="C166" s="8" t="s">
        <v>234</v>
      </c>
      <c r="D166" s="8" t="s">
        <v>545</v>
      </c>
      <c r="E166" s="8">
        <v>0.18012773168986937</v>
      </c>
    </row>
    <row r="167" spans="1:5" ht="24.75" x14ac:dyDescent="0.25">
      <c r="A167" s="8" t="s">
        <v>338</v>
      </c>
      <c r="B167" s="8" t="s">
        <v>224</v>
      </c>
      <c r="C167" s="8" t="s">
        <v>234</v>
      </c>
      <c r="D167" s="8" t="s">
        <v>546</v>
      </c>
      <c r="E167" s="8">
        <v>0.18012773168986937</v>
      </c>
    </row>
    <row r="168" spans="1:5" ht="24.75" x14ac:dyDescent="0.25">
      <c r="A168" s="8" t="s">
        <v>338</v>
      </c>
      <c r="B168" s="8" t="s">
        <v>224</v>
      </c>
      <c r="C168" s="8" t="s">
        <v>234</v>
      </c>
      <c r="D168" s="8" t="s">
        <v>547</v>
      </c>
      <c r="E168" s="8">
        <v>0.18012773168986937</v>
      </c>
    </row>
    <row r="169" spans="1:5" ht="24.75" x14ac:dyDescent="0.25">
      <c r="A169" s="8" t="s">
        <v>338</v>
      </c>
      <c r="B169" s="8" t="s">
        <v>224</v>
      </c>
      <c r="C169" s="8" t="s">
        <v>234</v>
      </c>
      <c r="D169" s="8" t="s">
        <v>548</v>
      </c>
      <c r="E169" s="8">
        <v>0.18012773168986937</v>
      </c>
    </row>
    <row r="170" spans="1:5" ht="24.75" x14ac:dyDescent="0.25">
      <c r="A170" s="8" t="s">
        <v>338</v>
      </c>
      <c r="B170" s="8" t="s">
        <v>224</v>
      </c>
      <c r="C170" s="8" t="s">
        <v>234</v>
      </c>
      <c r="D170" s="8" t="s">
        <v>549</v>
      </c>
      <c r="E170" s="8">
        <v>0.18012773168986937</v>
      </c>
    </row>
    <row r="171" spans="1:5" ht="24.75" x14ac:dyDescent="0.25">
      <c r="A171" s="8" t="s">
        <v>338</v>
      </c>
      <c r="B171" s="8" t="s">
        <v>224</v>
      </c>
      <c r="C171" s="8" t="s">
        <v>234</v>
      </c>
      <c r="D171" s="8" t="s">
        <v>550</v>
      </c>
      <c r="E171" s="8">
        <v>0.18012773168986937</v>
      </c>
    </row>
    <row r="172" spans="1:5" ht="24.75" x14ac:dyDescent="0.25">
      <c r="A172" s="8" t="s">
        <v>338</v>
      </c>
      <c r="B172" s="8" t="s">
        <v>224</v>
      </c>
      <c r="C172" s="8" t="s">
        <v>234</v>
      </c>
      <c r="D172" s="8" t="s">
        <v>551</v>
      </c>
      <c r="E172" s="8">
        <v>0.18012773168986937</v>
      </c>
    </row>
    <row r="173" spans="1:5" ht="24.75" x14ac:dyDescent="0.25">
      <c r="A173" s="8" t="s">
        <v>338</v>
      </c>
      <c r="B173" s="8" t="s">
        <v>224</v>
      </c>
      <c r="C173" s="8" t="s">
        <v>234</v>
      </c>
      <c r="D173" s="8" t="s">
        <v>552</v>
      </c>
      <c r="E173" s="8">
        <v>0.18012773168986937</v>
      </c>
    </row>
    <row r="174" spans="1:5" ht="24.75" x14ac:dyDescent="0.25">
      <c r="A174" s="8" t="s">
        <v>338</v>
      </c>
      <c r="B174" s="8" t="s">
        <v>224</v>
      </c>
      <c r="C174" s="8" t="s">
        <v>234</v>
      </c>
      <c r="D174" s="8" t="s">
        <v>553</v>
      </c>
      <c r="E174" s="8">
        <v>0.18012773168986937</v>
      </c>
    </row>
    <row r="175" spans="1:5" ht="24.75" x14ac:dyDescent="0.25">
      <c r="A175" s="8" t="s">
        <v>338</v>
      </c>
      <c r="B175" s="8" t="s">
        <v>224</v>
      </c>
      <c r="C175" s="8" t="s">
        <v>234</v>
      </c>
      <c r="D175" s="8" t="s">
        <v>554</v>
      </c>
      <c r="E175" s="8">
        <v>0.18012773168986937</v>
      </c>
    </row>
    <row r="176" spans="1:5" ht="24.75" x14ac:dyDescent="0.25">
      <c r="A176" s="8" t="s">
        <v>338</v>
      </c>
      <c r="B176" s="8" t="s">
        <v>224</v>
      </c>
      <c r="C176" s="8" t="s">
        <v>234</v>
      </c>
      <c r="D176" s="8" t="s">
        <v>555</v>
      </c>
      <c r="E176" s="8">
        <v>0.18012773168986937</v>
      </c>
    </row>
    <row r="177" spans="1:5" ht="24.75" x14ac:dyDescent="0.25">
      <c r="A177" s="8" t="s">
        <v>338</v>
      </c>
      <c r="B177" s="8" t="s">
        <v>224</v>
      </c>
      <c r="C177" s="8" t="s">
        <v>234</v>
      </c>
      <c r="D177" s="8" t="s">
        <v>556</v>
      </c>
      <c r="E177" s="8">
        <v>0.18012773168986937</v>
      </c>
    </row>
    <row r="178" spans="1:5" ht="24.75" x14ac:dyDescent="0.25">
      <c r="A178" s="8" t="s">
        <v>338</v>
      </c>
      <c r="B178" s="8" t="s">
        <v>224</v>
      </c>
      <c r="C178" s="8" t="s">
        <v>234</v>
      </c>
      <c r="D178" s="8" t="s">
        <v>557</v>
      </c>
      <c r="E178" s="8">
        <v>0.18012773168986937</v>
      </c>
    </row>
    <row r="179" spans="1:5" ht="24.75" x14ac:dyDescent="0.25">
      <c r="A179" s="8" t="s">
        <v>338</v>
      </c>
      <c r="B179" s="8" t="s">
        <v>224</v>
      </c>
      <c r="C179" s="8" t="s">
        <v>234</v>
      </c>
      <c r="D179" s="8" t="s">
        <v>558</v>
      </c>
      <c r="E179" s="8">
        <v>0.18012773168986937</v>
      </c>
    </row>
    <row r="180" spans="1:5" ht="24.75" x14ac:dyDescent="0.25">
      <c r="A180" s="8" t="s">
        <v>338</v>
      </c>
      <c r="B180" s="8" t="s">
        <v>224</v>
      </c>
      <c r="C180" s="8" t="s">
        <v>234</v>
      </c>
      <c r="D180" s="8" t="s">
        <v>559</v>
      </c>
      <c r="E180" s="8">
        <v>0.18012773168986937</v>
      </c>
    </row>
    <row r="181" spans="1:5" ht="24.75" x14ac:dyDescent="0.25">
      <c r="A181" s="8" t="s">
        <v>338</v>
      </c>
      <c r="B181" s="8" t="s">
        <v>224</v>
      </c>
      <c r="C181" s="8" t="s">
        <v>234</v>
      </c>
      <c r="D181" s="8" t="s">
        <v>560</v>
      </c>
      <c r="E181" s="8">
        <v>0.18012773168986937</v>
      </c>
    </row>
    <row r="182" spans="1:5" ht="24.75" x14ac:dyDescent="0.25">
      <c r="A182" s="8" t="s">
        <v>338</v>
      </c>
      <c r="B182" s="8" t="s">
        <v>224</v>
      </c>
      <c r="C182" s="8" t="s">
        <v>234</v>
      </c>
      <c r="D182" s="8" t="s">
        <v>561</v>
      </c>
      <c r="E182" s="8">
        <v>0.18012773168986937</v>
      </c>
    </row>
    <row r="183" spans="1:5" ht="24.75" x14ac:dyDescent="0.25">
      <c r="A183" s="8" t="s">
        <v>338</v>
      </c>
      <c r="B183" s="8" t="s">
        <v>224</v>
      </c>
      <c r="C183" s="8" t="s">
        <v>234</v>
      </c>
      <c r="D183" s="8" t="s">
        <v>562</v>
      </c>
      <c r="E183" s="8">
        <v>0.18012773168986937</v>
      </c>
    </row>
    <row r="184" spans="1:5" ht="24.75" x14ac:dyDescent="0.25">
      <c r="A184" s="8" t="s">
        <v>338</v>
      </c>
      <c r="B184" s="8" t="s">
        <v>224</v>
      </c>
      <c r="C184" s="8" t="s">
        <v>234</v>
      </c>
      <c r="D184" s="8" t="s">
        <v>563</v>
      </c>
      <c r="E184" s="8">
        <v>0.18012773168986937</v>
      </c>
    </row>
    <row r="185" spans="1:5" ht="24.75" x14ac:dyDescent="0.25">
      <c r="A185" s="8" t="s">
        <v>338</v>
      </c>
      <c r="B185" s="8" t="s">
        <v>224</v>
      </c>
      <c r="C185" s="8" t="s">
        <v>234</v>
      </c>
      <c r="D185" s="8" t="s">
        <v>564</v>
      </c>
      <c r="E185" s="8">
        <v>0.18012773168986937</v>
      </c>
    </row>
    <row r="186" spans="1:5" ht="24.75" x14ac:dyDescent="0.25">
      <c r="A186" s="8" t="s">
        <v>338</v>
      </c>
      <c r="B186" s="8" t="s">
        <v>224</v>
      </c>
      <c r="C186" s="8" t="s">
        <v>234</v>
      </c>
      <c r="D186" s="8" t="s">
        <v>565</v>
      </c>
      <c r="E186" s="8">
        <v>0.18012773168986937</v>
      </c>
    </row>
    <row r="187" spans="1:5" ht="24.75" x14ac:dyDescent="0.25">
      <c r="A187" s="8" t="s">
        <v>338</v>
      </c>
      <c r="B187" s="8" t="s">
        <v>224</v>
      </c>
      <c r="C187" s="8" t="s">
        <v>234</v>
      </c>
      <c r="D187" s="8" t="s">
        <v>566</v>
      </c>
      <c r="E187" s="8">
        <v>0.18012773168986937</v>
      </c>
    </row>
    <row r="188" spans="1:5" ht="24.75" x14ac:dyDescent="0.25">
      <c r="A188" s="8" t="s">
        <v>338</v>
      </c>
      <c r="B188" s="8" t="s">
        <v>224</v>
      </c>
      <c r="C188" s="8" t="s">
        <v>234</v>
      </c>
      <c r="D188" s="8" t="s">
        <v>567</v>
      </c>
      <c r="E188" s="8">
        <v>0.18012773168986937</v>
      </c>
    </row>
    <row r="189" spans="1:5" ht="24.75" x14ac:dyDescent="0.25">
      <c r="A189" s="8" t="s">
        <v>338</v>
      </c>
      <c r="B189" s="8" t="s">
        <v>224</v>
      </c>
      <c r="C189" s="8" t="s">
        <v>234</v>
      </c>
      <c r="D189" s="8" t="s">
        <v>568</v>
      </c>
      <c r="E189" s="8">
        <v>0.92559940998022483</v>
      </c>
    </row>
    <row r="190" spans="1:5" ht="24.75" x14ac:dyDescent="0.25">
      <c r="A190" s="8" t="s">
        <v>338</v>
      </c>
      <c r="B190" s="8" t="s">
        <v>224</v>
      </c>
      <c r="C190" s="8" t="s">
        <v>234</v>
      </c>
      <c r="D190" s="8" t="s">
        <v>569</v>
      </c>
      <c r="E190" s="8">
        <v>0.92559940998022483</v>
      </c>
    </row>
    <row r="191" spans="1:5" ht="24.75" x14ac:dyDescent="0.25">
      <c r="A191" s="8" t="s">
        <v>338</v>
      </c>
      <c r="B191" s="8" t="s">
        <v>224</v>
      </c>
      <c r="C191" s="8" t="s">
        <v>234</v>
      </c>
      <c r="D191" s="8" t="s">
        <v>570</v>
      </c>
      <c r="E191" s="8">
        <v>0.92559940998022483</v>
      </c>
    </row>
    <row r="192" spans="1:5" ht="24.75" x14ac:dyDescent="0.25">
      <c r="A192" s="8" t="s">
        <v>338</v>
      </c>
      <c r="B192" s="8" t="s">
        <v>224</v>
      </c>
      <c r="C192" s="8" t="s">
        <v>234</v>
      </c>
      <c r="D192" s="8" t="s">
        <v>571</v>
      </c>
      <c r="E192" s="8">
        <v>0.92559940998022483</v>
      </c>
    </row>
    <row r="193" spans="1:5" ht="24.75" x14ac:dyDescent="0.25">
      <c r="A193" s="8" t="s">
        <v>338</v>
      </c>
      <c r="B193" s="8" t="s">
        <v>224</v>
      </c>
      <c r="C193" s="8" t="s">
        <v>234</v>
      </c>
      <c r="D193" s="8" t="s">
        <v>572</v>
      </c>
      <c r="E193" s="8">
        <v>0.6567919934881985</v>
      </c>
    </row>
    <row r="194" spans="1:5" ht="24.75" x14ac:dyDescent="0.25">
      <c r="A194" s="8" t="s">
        <v>338</v>
      </c>
      <c r="B194" s="8" t="s">
        <v>224</v>
      </c>
      <c r="C194" s="8" t="s">
        <v>234</v>
      </c>
      <c r="D194" s="8" t="s">
        <v>573</v>
      </c>
      <c r="E194" s="8">
        <v>0.33759266528538961</v>
      </c>
    </row>
    <row r="195" spans="1:5" ht="24.75" x14ac:dyDescent="0.25">
      <c r="A195" s="8" t="s">
        <v>338</v>
      </c>
      <c r="B195" s="8" t="s">
        <v>224</v>
      </c>
      <c r="C195" s="8" t="s">
        <v>234</v>
      </c>
      <c r="D195" s="8" t="s">
        <v>574</v>
      </c>
      <c r="E195" s="8">
        <v>0.18635708013824634</v>
      </c>
    </row>
    <row r="196" spans="1:5" ht="24.75" x14ac:dyDescent="0.25">
      <c r="A196" s="8" t="s">
        <v>338</v>
      </c>
      <c r="B196" s="8" t="s">
        <v>224</v>
      </c>
      <c r="C196" s="8" t="s">
        <v>234</v>
      </c>
      <c r="D196" s="8" t="s">
        <v>575</v>
      </c>
      <c r="E196" s="8">
        <v>0.19186923480568566</v>
      </c>
    </row>
    <row r="197" spans="1:5" ht="24.75" x14ac:dyDescent="0.25">
      <c r="A197" s="8" t="s">
        <v>338</v>
      </c>
      <c r="B197" s="8" t="s">
        <v>224</v>
      </c>
      <c r="C197" s="8" t="s">
        <v>234</v>
      </c>
      <c r="D197" s="8" t="s">
        <v>576</v>
      </c>
      <c r="E197" s="8">
        <v>2.0523177978732892</v>
      </c>
    </row>
    <row r="198" spans="1:5" ht="24.75" x14ac:dyDescent="0.25">
      <c r="A198" s="8" t="s">
        <v>338</v>
      </c>
      <c r="B198" s="8" t="s">
        <v>224</v>
      </c>
      <c r="C198" s="8" t="s">
        <v>234</v>
      </c>
      <c r="D198" s="8" t="s">
        <v>577</v>
      </c>
      <c r="E198" s="8">
        <v>1.0281096863530561</v>
      </c>
    </row>
    <row r="199" spans="1:5" ht="24.75" x14ac:dyDescent="0.25">
      <c r="A199" s="8" t="s">
        <v>338</v>
      </c>
      <c r="B199" s="8" t="s">
        <v>224</v>
      </c>
      <c r="C199" s="8" t="s">
        <v>234</v>
      </c>
      <c r="D199" s="8" t="s">
        <v>578</v>
      </c>
      <c r="E199" s="8">
        <v>1.0281096863530561</v>
      </c>
    </row>
    <row r="200" spans="1:5" ht="24.75" x14ac:dyDescent="0.25">
      <c r="A200" s="8" t="s">
        <v>338</v>
      </c>
      <c r="B200" s="8" t="s">
        <v>224</v>
      </c>
      <c r="C200" s="8" t="s">
        <v>234</v>
      </c>
      <c r="D200" s="8" t="s">
        <v>579</v>
      </c>
      <c r="E200" s="8">
        <v>1.0281096863530561</v>
      </c>
    </row>
    <row r="201" spans="1:5" ht="24.75" x14ac:dyDescent="0.25">
      <c r="A201" s="8" t="s">
        <v>338</v>
      </c>
      <c r="B201" s="8" t="s">
        <v>224</v>
      </c>
      <c r="C201" s="8" t="s">
        <v>234</v>
      </c>
      <c r="D201" s="8" t="s">
        <v>580</v>
      </c>
      <c r="E201" s="8">
        <v>1.0281096863530561</v>
      </c>
    </row>
    <row r="202" spans="1:5" ht="24.75" x14ac:dyDescent="0.25">
      <c r="A202" s="8" t="s">
        <v>338</v>
      </c>
      <c r="B202" s="8" t="s">
        <v>224</v>
      </c>
      <c r="C202" s="8" t="s">
        <v>234</v>
      </c>
      <c r="D202" s="8" t="s">
        <v>581</v>
      </c>
      <c r="E202" s="8">
        <v>1.0281096863530561</v>
      </c>
    </row>
    <row r="203" spans="1:5" ht="24.75" x14ac:dyDescent="0.25">
      <c r="A203" s="8" t="s">
        <v>338</v>
      </c>
      <c r="B203" s="8" t="s">
        <v>224</v>
      </c>
      <c r="C203" s="8" t="s">
        <v>234</v>
      </c>
      <c r="D203" s="8" t="s">
        <v>582</v>
      </c>
      <c r="E203" s="8">
        <v>1.0281096863530561</v>
      </c>
    </row>
    <row r="204" spans="1:5" ht="24.75" x14ac:dyDescent="0.25">
      <c r="A204" s="8" t="s">
        <v>338</v>
      </c>
      <c r="B204" s="8" t="s">
        <v>224</v>
      </c>
      <c r="C204" s="8" t="s">
        <v>234</v>
      </c>
      <c r="D204" s="8" t="s">
        <v>583</v>
      </c>
      <c r="E204" s="8">
        <v>1.0281096863530561</v>
      </c>
    </row>
    <row r="205" spans="1:5" ht="24.75" x14ac:dyDescent="0.25">
      <c r="A205" s="8" t="s">
        <v>338</v>
      </c>
      <c r="B205" s="8" t="s">
        <v>224</v>
      </c>
      <c r="C205" s="8" t="s">
        <v>234</v>
      </c>
      <c r="D205" s="8" t="s">
        <v>584</v>
      </c>
      <c r="E205" s="8">
        <v>1.0281096863530561</v>
      </c>
    </row>
    <row r="206" spans="1:5" ht="24.75" x14ac:dyDescent="0.25">
      <c r="A206" s="8" t="s">
        <v>338</v>
      </c>
      <c r="B206" s="8" t="s">
        <v>224</v>
      </c>
      <c r="C206" s="8" t="s">
        <v>234</v>
      </c>
      <c r="D206" s="8" t="s">
        <v>585</v>
      </c>
      <c r="E206" s="8">
        <v>1.0281096863530561</v>
      </c>
    </row>
    <row r="207" spans="1:5" ht="24.75" x14ac:dyDescent="0.25">
      <c r="A207" s="8" t="s">
        <v>338</v>
      </c>
      <c r="B207" s="8" t="s">
        <v>224</v>
      </c>
      <c r="C207" s="8" t="s">
        <v>234</v>
      </c>
      <c r="D207" s="8" t="s">
        <v>586</v>
      </c>
      <c r="E207" s="8">
        <v>1.0281096863530561</v>
      </c>
    </row>
    <row r="208" spans="1:5" ht="24.75" x14ac:dyDescent="0.25">
      <c r="A208" s="8" t="s">
        <v>338</v>
      </c>
      <c r="B208" s="8" t="s">
        <v>224</v>
      </c>
      <c r="C208" s="8" t="s">
        <v>234</v>
      </c>
      <c r="D208" s="8" t="s">
        <v>587</v>
      </c>
      <c r="E208" s="8">
        <v>0.18012773168986937</v>
      </c>
    </row>
    <row r="209" spans="1:5" ht="24.75" x14ac:dyDescent="0.25">
      <c r="A209" s="8" t="s">
        <v>338</v>
      </c>
      <c r="B209" s="8" t="s">
        <v>224</v>
      </c>
      <c r="C209" s="8" t="s">
        <v>234</v>
      </c>
      <c r="D209" s="8" t="s">
        <v>588</v>
      </c>
      <c r="E209" s="8">
        <v>0.18012773168986937</v>
      </c>
    </row>
    <row r="210" spans="1:5" ht="24.75" x14ac:dyDescent="0.25">
      <c r="A210" s="8" t="s">
        <v>338</v>
      </c>
      <c r="B210" s="8" t="s">
        <v>224</v>
      </c>
      <c r="C210" s="8" t="s">
        <v>234</v>
      </c>
      <c r="D210" s="8" t="s">
        <v>589</v>
      </c>
      <c r="E210" s="8">
        <v>0.18012773168986937</v>
      </c>
    </row>
    <row r="211" spans="1:5" ht="24.75" x14ac:dyDescent="0.25">
      <c r="A211" s="8" t="s">
        <v>338</v>
      </c>
      <c r="B211" s="8" t="s">
        <v>224</v>
      </c>
      <c r="C211" s="8" t="s">
        <v>234</v>
      </c>
      <c r="D211" s="8" t="s">
        <v>590</v>
      </c>
      <c r="E211" s="8">
        <v>0.18012773168986937</v>
      </c>
    </row>
    <row r="212" spans="1:5" ht="24.75" x14ac:dyDescent="0.25">
      <c r="A212" s="8" t="s">
        <v>338</v>
      </c>
      <c r="B212" s="8" t="s">
        <v>224</v>
      </c>
      <c r="C212" s="8" t="s">
        <v>234</v>
      </c>
      <c r="D212" s="8" t="s">
        <v>591</v>
      </c>
      <c r="E212" s="8">
        <v>0.18012773168986937</v>
      </c>
    </row>
    <row r="213" spans="1:5" ht="24.75" x14ac:dyDescent="0.25">
      <c r="A213" s="8" t="s">
        <v>338</v>
      </c>
      <c r="B213" s="8" t="s">
        <v>224</v>
      </c>
      <c r="C213" s="8" t="s">
        <v>234</v>
      </c>
      <c r="D213" s="8" t="s">
        <v>592</v>
      </c>
      <c r="E213" s="8">
        <v>0.18012773168986937</v>
      </c>
    </row>
    <row r="214" spans="1:5" ht="24.75" x14ac:dyDescent="0.25">
      <c r="A214" s="8" t="s">
        <v>338</v>
      </c>
      <c r="B214" s="8" t="s">
        <v>224</v>
      </c>
      <c r="C214" s="8" t="s">
        <v>234</v>
      </c>
      <c r="D214" s="8" t="s">
        <v>593</v>
      </c>
      <c r="E214" s="8">
        <v>0.18012773168986937</v>
      </c>
    </row>
    <row r="215" spans="1:5" ht="24.75" x14ac:dyDescent="0.25">
      <c r="A215" s="8" t="s">
        <v>338</v>
      </c>
      <c r="B215" s="8" t="s">
        <v>224</v>
      </c>
      <c r="C215" s="8" t="s">
        <v>234</v>
      </c>
      <c r="D215" s="8" t="s">
        <v>594</v>
      </c>
      <c r="E215" s="8">
        <v>0.18012773168986937</v>
      </c>
    </row>
    <row r="216" spans="1:5" ht="24.75" x14ac:dyDescent="0.25">
      <c r="A216" s="8" t="s">
        <v>338</v>
      </c>
      <c r="B216" s="8" t="s">
        <v>224</v>
      </c>
      <c r="C216" s="8" t="s">
        <v>234</v>
      </c>
      <c r="D216" s="8" t="s">
        <v>595</v>
      </c>
      <c r="E216" s="8">
        <v>0.18012773168986937</v>
      </c>
    </row>
    <row r="217" spans="1:5" ht="24.75" x14ac:dyDescent="0.25">
      <c r="A217" s="8" t="s">
        <v>338</v>
      </c>
      <c r="B217" s="8" t="s">
        <v>224</v>
      </c>
      <c r="C217" s="8" t="s">
        <v>234</v>
      </c>
      <c r="D217" s="8" t="s">
        <v>596</v>
      </c>
      <c r="E217" s="8">
        <v>0.18012773168986937</v>
      </c>
    </row>
    <row r="218" spans="1:5" ht="24.75" x14ac:dyDescent="0.25">
      <c r="A218" s="8" t="s">
        <v>338</v>
      </c>
      <c r="B218" s="8" t="s">
        <v>224</v>
      </c>
      <c r="C218" s="8" t="s">
        <v>234</v>
      </c>
      <c r="D218" s="8" t="s">
        <v>597</v>
      </c>
      <c r="E218" s="8">
        <v>0.35923068210186127</v>
      </c>
    </row>
    <row r="219" spans="1:5" ht="24.75" x14ac:dyDescent="0.25">
      <c r="A219" s="8" t="s">
        <v>338</v>
      </c>
      <c r="B219" s="8" t="s">
        <v>224</v>
      </c>
      <c r="C219" s="8" t="s">
        <v>234</v>
      </c>
      <c r="D219" s="8" t="s">
        <v>598</v>
      </c>
      <c r="E219" s="8">
        <v>0.16611866081916382</v>
      </c>
    </row>
    <row r="220" spans="1:5" ht="24.75" x14ac:dyDescent="0.25">
      <c r="A220" s="8" t="s">
        <v>338</v>
      </c>
      <c r="B220" s="8" t="s">
        <v>224</v>
      </c>
      <c r="C220" s="8" t="s">
        <v>234</v>
      </c>
      <c r="D220" s="8" t="s">
        <v>599</v>
      </c>
      <c r="E220" s="8">
        <v>0.16611866081916382</v>
      </c>
    </row>
    <row r="221" spans="1:5" ht="24.75" x14ac:dyDescent="0.25">
      <c r="A221" s="8" t="s">
        <v>338</v>
      </c>
      <c r="B221" s="8" t="s">
        <v>224</v>
      </c>
      <c r="C221" s="8" t="s">
        <v>234</v>
      </c>
      <c r="D221" s="8" t="s">
        <v>600</v>
      </c>
      <c r="E221" s="8">
        <v>0.16611866081916382</v>
      </c>
    </row>
    <row r="222" spans="1:5" ht="24.75" x14ac:dyDescent="0.25">
      <c r="A222" s="8" t="s">
        <v>338</v>
      </c>
      <c r="B222" s="8" t="s">
        <v>224</v>
      </c>
      <c r="C222" s="8" t="s">
        <v>234</v>
      </c>
      <c r="D222" s="8" t="s">
        <v>601</v>
      </c>
      <c r="E222" s="8">
        <v>0.16611866081916382</v>
      </c>
    </row>
    <row r="223" spans="1:5" ht="24.75" x14ac:dyDescent="0.25">
      <c r="A223" s="8" t="s">
        <v>338</v>
      </c>
      <c r="B223" s="8" t="s">
        <v>224</v>
      </c>
      <c r="C223" s="8" t="s">
        <v>234</v>
      </c>
      <c r="D223" s="8" t="s">
        <v>602</v>
      </c>
      <c r="E223" s="8">
        <v>0.16611866081916382</v>
      </c>
    </row>
    <row r="224" spans="1:5" ht="24.75" x14ac:dyDescent="0.25">
      <c r="A224" s="8" t="s">
        <v>338</v>
      </c>
      <c r="B224" s="8" t="s">
        <v>224</v>
      </c>
      <c r="C224" s="8" t="s">
        <v>234</v>
      </c>
      <c r="D224" s="8" t="s">
        <v>603</v>
      </c>
      <c r="E224" s="8">
        <v>0.16611866081916382</v>
      </c>
    </row>
    <row r="225" spans="1:5" ht="24.75" x14ac:dyDescent="0.25">
      <c r="A225" s="8" t="s">
        <v>338</v>
      </c>
      <c r="B225" s="8" t="s">
        <v>224</v>
      </c>
      <c r="C225" s="8" t="s">
        <v>234</v>
      </c>
      <c r="D225" s="8" t="s">
        <v>604</v>
      </c>
      <c r="E225" s="8">
        <v>0.16611866081916382</v>
      </c>
    </row>
    <row r="226" spans="1:5" ht="24.75" x14ac:dyDescent="0.25">
      <c r="A226" s="8" t="s">
        <v>338</v>
      </c>
      <c r="B226" s="8" t="s">
        <v>224</v>
      </c>
      <c r="C226" s="8" t="s">
        <v>234</v>
      </c>
      <c r="D226" s="8" t="s">
        <v>605</v>
      </c>
      <c r="E226" s="8">
        <v>0.16611866081916382</v>
      </c>
    </row>
    <row r="227" spans="1:5" ht="24.75" x14ac:dyDescent="0.25">
      <c r="A227" s="8" t="s">
        <v>338</v>
      </c>
      <c r="B227" s="8" t="s">
        <v>224</v>
      </c>
      <c r="C227" s="8" t="s">
        <v>234</v>
      </c>
      <c r="D227" s="8" t="s">
        <v>606</v>
      </c>
      <c r="E227" s="8">
        <v>0.16611866081916382</v>
      </c>
    </row>
    <row r="228" spans="1:5" ht="24.75" x14ac:dyDescent="0.25">
      <c r="A228" s="8" t="s">
        <v>338</v>
      </c>
      <c r="B228" s="8" t="s">
        <v>224</v>
      </c>
      <c r="C228" s="8" t="s">
        <v>234</v>
      </c>
      <c r="D228" s="8" t="s">
        <v>607</v>
      </c>
      <c r="E228" s="8">
        <v>0.16611866081916382</v>
      </c>
    </row>
    <row r="229" spans="1:5" x14ac:dyDescent="0.25">
      <c r="A229" s="1" t="s">
        <v>198</v>
      </c>
      <c r="B229" s="1" t="s">
        <v>198</v>
      </c>
      <c r="C229" s="1">
        <f>SUBTOTAL(103,Elements13_2_321[Elemento])</f>
        <v>222</v>
      </c>
      <c r="D229" s="1" t="s">
        <v>198</v>
      </c>
      <c r="E229" s="1">
        <f>SUBTOTAL(109,Elements13_2_321[Totais:])</f>
        <v>58.943204636029577</v>
      </c>
    </row>
  </sheetData>
  <mergeCells count="3">
    <mergeCell ref="A1:E2"/>
    <mergeCell ref="A4:E4"/>
    <mergeCell ref="A5:E5"/>
  </mergeCells>
  <hyperlinks>
    <hyperlink ref="A1" location="'13.2.32'!A1" display="FIXAÇÃO DE TUBOS HORIZONTAIS DE PPR DIÂMETROS MENORES OU IGUAIS A 40 MM COM ABRAÇADEIRA METÁLICA RÍGIDA TIPO U PERFIL 1 1/4&quot;, FIXADA EM PERFILADO EM LAJE. AF_09/2023_PS" xr:uid="{00000000-0004-0000-5100-000000000000}"/>
    <hyperlink ref="B1" location="'13.2.32'!A1" display="FIXAÇÃO DE TUBOS HORIZONTAIS DE PPR DIÂMETROS MENORES OU IGUAIS A 40 MM COM ABRAÇADEIRA METÁLICA RÍGIDA TIPO U PERFIL 1 1/4&quot;, FIXADA EM PERFILADO EM LAJE. AF_09/2023_PS" xr:uid="{00000000-0004-0000-5100-000001000000}"/>
    <hyperlink ref="C1" location="'13.2.32'!A1" display="FIXAÇÃO DE TUBOS HORIZONTAIS DE PPR DIÂMETROS MENORES OU IGUAIS A 40 MM COM ABRAÇADEIRA METÁLICA RÍGIDA TIPO U PERFIL 1 1/4&quot;, FIXADA EM PERFILADO EM LAJE. AF_09/2023_PS" xr:uid="{00000000-0004-0000-5100-000002000000}"/>
    <hyperlink ref="D1" location="'13.2.32'!A1" display="FIXAÇÃO DE TUBOS HORIZONTAIS DE PPR DIÂMETROS MENORES OU IGUAIS A 40 MM COM ABRAÇADEIRA METÁLICA RÍGIDA TIPO U PERFIL 1 1/4&quot;, FIXADA EM PERFILADO EM LAJE. AF_09/2023_PS" xr:uid="{00000000-0004-0000-5100-000003000000}"/>
    <hyperlink ref="E1" location="'13.2.32'!A1" display="FIXAÇÃO DE TUBOS HORIZONTAIS DE PPR DIÂMETROS MENORES OU IGUAIS A 40 MM COM ABRAÇADEIRA METÁLICA RÍGIDA TIPO U PERFIL 1 1/4&quot;, FIXADA EM PERFILADO EM LAJE. AF_09/2023_PS" xr:uid="{00000000-0004-0000-5100-000004000000}"/>
    <hyperlink ref="A2" location="'13.2.32'!A1" display="FIXAÇÃO DE TUBOS HORIZONTAIS DE PPR DIÂMETROS MENORES OU IGUAIS A 40 MM COM ABRAÇADEIRA METÁLICA RÍGIDA TIPO U PERFIL 1 1/4&quot;, FIXADA EM PERFILADO EM LAJE. AF_09/2023_PS" xr:uid="{00000000-0004-0000-5100-000005000000}"/>
    <hyperlink ref="B2" location="'13.2.32'!A1" display="FIXAÇÃO DE TUBOS HORIZONTAIS DE PPR DIÂMETROS MENORES OU IGUAIS A 40 MM COM ABRAÇADEIRA METÁLICA RÍGIDA TIPO U PERFIL 1 1/4&quot;, FIXADA EM PERFILADO EM LAJE. AF_09/2023_PS" xr:uid="{00000000-0004-0000-5100-000006000000}"/>
    <hyperlink ref="C2" location="'13.2.32'!A1" display="FIXAÇÃO DE TUBOS HORIZONTAIS DE PPR DIÂMETROS MENORES OU IGUAIS A 40 MM COM ABRAÇADEIRA METÁLICA RÍGIDA TIPO U PERFIL 1 1/4&quot;, FIXADA EM PERFILADO EM LAJE. AF_09/2023_PS" xr:uid="{00000000-0004-0000-5100-000007000000}"/>
    <hyperlink ref="D2" location="'13.2.32'!A1" display="FIXAÇÃO DE TUBOS HORIZONTAIS DE PPR DIÂMETROS MENORES OU IGUAIS A 40 MM COM ABRAÇADEIRA METÁLICA RÍGIDA TIPO U PERFIL 1 1/4&quot;, FIXADA EM PERFILADO EM LAJE. AF_09/2023_PS" xr:uid="{00000000-0004-0000-5100-000008000000}"/>
    <hyperlink ref="E2" location="'13.2.32'!A1" display="FIXAÇÃO DE TUBOS HORIZONTAIS DE PPR DIÂMETROS MENORES OU IGUAIS A 40 MM COM ABRAÇADEIRA METÁLICA RÍGIDA TIPO U PERFIL 1 1/4&quot;, FIXADA EM PERFILADO EM LAJE. AF_09/2023_PS" xr:uid="{00000000-0004-0000-5100-000009000000}"/>
    <hyperlink ref="A4" location="'13.2.32'!A1" display="Acessórios do tubo (Comprimento)" xr:uid="{00000000-0004-0000-5100-00000A000000}"/>
    <hyperlink ref="B4" location="'13.2.32'!A1" display="Acessórios do tubo (Comprimento)" xr:uid="{00000000-0004-0000-5100-00000B000000}"/>
    <hyperlink ref="C4" location="'13.2.32'!A1" display="Acessórios do tubo (Comprimento)" xr:uid="{00000000-0004-0000-5100-00000C000000}"/>
    <hyperlink ref="D4" location="'13.2.32'!A1" display="Acessórios do tubo (Comprimento)" xr:uid="{00000000-0004-0000-5100-00000D000000}"/>
    <hyperlink ref="E4" location="'13.2.32'!A1" display="Acessórios do tubo (Comprimento)" xr:uid="{00000000-0004-0000-5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dimension ref="A1:E1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137</v>
      </c>
      <c r="B1" s="20" t="s">
        <v>137</v>
      </c>
      <c r="C1" s="20" t="s">
        <v>137</v>
      </c>
      <c r="D1" s="20" t="s">
        <v>137</v>
      </c>
      <c r="E1" s="20" t="s">
        <v>137</v>
      </c>
    </row>
    <row r="2" spans="1:5" x14ac:dyDescent="0.25">
      <c r="A2" s="20" t="s">
        <v>137</v>
      </c>
      <c r="B2" s="20" t="s">
        <v>137</v>
      </c>
      <c r="C2" s="20" t="s">
        <v>137</v>
      </c>
      <c r="D2" s="20" t="s">
        <v>137</v>
      </c>
      <c r="E2" s="20" t="s">
        <v>137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1634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1635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1636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1637</v>
      </c>
      <c r="E10" s="8">
        <v>1</v>
      </c>
    </row>
    <row r="11" spans="1:5" x14ac:dyDescent="0.25">
      <c r="A11" s="1" t="s">
        <v>198</v>
      </c>
      <c r="B11" s="1" t="s">
        <v>198</v>
      </c>
      <c r="C11" s="1">
        <f>SUBTOTAL(103,Elements13_2_331[Elemento])</f>
        <v>4</v>
      </c>
      <c r="D11" s="1" t="s">
        <v>198</v>
      </c>
      <c r="E11" s="1">
        <f>SUBTOTAL(109,Elements13_2_331[Totais:])</f>
        <v>4</v>
      </c>
    </row>
  </sheetData>
  <mergeCells count="3">
    <mergeCell ref="A1:E2"/>
    <mergeCell ref="A4:E4"/>
    <mergeCell ref="A5:E5"/>
  </mergeCells>
  <hyperlinks>
    <hyperlink ref="A1" location="'13.2.33'!A1" display="CURVA 45º SOLDAVEL,COM DIAMETRO DE 60MM.FORNECIMENTO" xr:uid="{00000000-0004-0000-5200-000000000000}"/>
    <hyperlink ref="B1" location="'13.2.33'!A1" display="CURVA 45º SOLDAVEL,COM DIAMETRO DE 60MM.FORNECIMENTO" xr:uid="{00000000-0004-0000-5200-000001000000}"/>
    <hyperlink ref="C1" location="'13.2.33'!A1" display="CURVA 45º SOLDAVEL,COM DIAMETRO DE 60MM.FORNECIMENTO" xr:uid="{00000000-0004-0000-5200-000002000000}"/>
    <hyperlink ref="D1" location="'13.2.33'!A1" display="CURVA 45º SOLDAVEL,COM DIAMETRO DE 60MM.FORNECIMENTO" xr:uid="{00000000-0004-0000-5200-000003000000}"/>
    <hyperlink ref="E1" location="'13.2.33'!A1" display="CURVA 45º SOLDAVEL,COM DIAMETRO DE 60MM.FORNECIMENTO" xr:uid="{00000000-0004-0000-5200-000004000000}"/>
    <hyperlink ref="A2" location="'13.2.33'!A1" display="CURVA 45º SOLDAVEL,COM DIAMETRO DE 60MM.FORNECIMENTO" xr:uid="{00000000-0004-0000-5200-000005000000}"/>
    <hyperlink ref="B2" location="'13.2.33'!A1" display="CURVA 45º SOLDAVEL,COM DIAMETRO DE 60MM.FORNECIMENTO" xr:uid="{00000000-0004-0000-5200-000006000000}"/>
    <hyperlink ref="C2" location="'13.2.33'!A1" display="CURVA 45º SOLDAVEL,COM DIAMETRO DE 60MM.FORNECIMENTO" xr:uid="{00000000-0004-0000-5200-000007000000}"/>
    <hyperlink ref="D2" location="'13.2.33'!A1" display="CURVA 45º SOLDAVEL,COM DIAMETRO DE 60MM.FORNECIMENTO" xr:uid="{00000000-0004-0000-5200-000008000000}"/>
    <hyperlink ref="E2" location="'13.2.33'!A1" display="CURVA 45º SOLDAVEL,COM DIAMETRO DE 60MM.FORNECIMENTO" xr:uid="{00000000-0004-0000-5200-000009000000}"/>
    <hyperlink ref="A4" location="'13.2.33'!A1" display="Conexões de tubo (Afastamento)" xr:uid="{00000000-0004-0000-5200-00000A000000}"/>
    <hyperlink ref="B4" location="'13.2.33'!A1" display="Conexões de tubo (Afastamento)" xr:uid="{00000000-0004-0000-5200-00000B000000}"/>
    <hyperlink ref="C4" location="'13.2.33'!A1" display="Conexões de tubo (Afastamento)" xr:uid="{00000000-0004-0000-5200-00000C000000}"/>
    <hyperlink ref="D4" location="'13.2.33'!A1" display="Conexões de tubo (Afastamento)" xr:uid="{00000000-0004-0000-5200-00000D000000}"/>
    <hyperlink ref="E4" location="'13.2.33'!A1" display="Conexões de tubo (Afastamento)" xr:uid="{00000000-0004-0000-52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dimension ref="A1:E144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140</v>
      </c>
      <c r="B1" s="20" t="s">
        <v>140</v>
      </c>
      <c r="C1" s="20" t="s">
        <v>140</v>
      </c>
      <c r="D1" s="20" t="s">
        <v>140</v>
      </c>
      <c r="E1" s="20" t="s">
        <v>140</v>
      </c>
    </row>
    <row r="2" spans="1:5" x14ac:dyDescent="0.25">
      <c r="A2" s="20" t="s">
        <v>140</v>
      </c>
      <c r="B2" s="20" t="s">
        <v>140</v>
      </c>
      <c r="C2" s="20" t="s">
        <v>140</v>
      </c>
      <c r="D2" s="20" t="s">
        <v>140</v>
      </c>
      <c r="E2" s="20" t="s">
        <v>140</v>
      </c>
    </row>
    <row r="4" spans="1:5" x14ac:dyDescent="0.25">
      <c r="A4" s="15" t="s">
        <v>258</v>
      </c>
      <c r="B4" s="15" t="s">
        <v>258</v>
      </c>
      <c r="C4" s="15" t="s">
        <v>258</v>
      </c>
      <c r="D4" s="15" t="s">
        <v>258</v>
      </c>
      <c r="E4" s="15" t="s">
        <v>258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1638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1639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1640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1641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1642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1643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1644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1645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1646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1647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1648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1649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1650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1651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1652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1653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1654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1655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205</v>
      </c>
      <c r="D25" s="8" t="s">
        <v>1656</v>
      </c>
      <c r="E25" s="8">
        <v>1</v>
      </c>
    </row>
    <row r="26" spans="1:5" ht="24.75" x14ac:dyDescent="0.25">
      <c r="A26" s="8" t="s">
        <v>338</v>
      </c>
      <c r="B26" s="8" t="s">
        <v>224</v>
      </c>
      <c r="C26" s="8" t="s">
        <v>205</v>
      </c>
      <c r="D26" s="8" t="s">
        <v>1657</v>
      </c>
      <c r="E26" s="8">
        <v>1</v>
      </c>
    </row>
    <row r="27" spans="1:5" ht="24.75" x14ac:dyDescent="0.25">
      <c r="A27" s="8" t="s">
        <v>338</v>
      </c>
      <c r="B27" s="8" t="s">
        <v>224</v>
      </c>
      <c r="C27" s="8" t="s">
        <v>205</v>
      </c>
      <c r="D27" s="8" t="s">
        <v>1658</v>
      </c>
      <c r="E27" s="8">
        <v>1</v>
      </c>
    </row>
    <row r="28" spans="1:5" ht="24.75" x14ac:dyDescent="0.25">
      <c r="A28" s="8" t="s">
        <v>338</v>
      </c>
      <c r="B28" s="8" t="s">
        <v>224</v>
      </c>
      <c r="C28" s="8" t="s">
        <v>205</v>
      </c>
      <c r="D28" s="8" t="s">
        <v>1659</v>
      </c>
      <c r="E28" s="8">
        <v>1</v>
      </c>
    </row>
    <row r="29" spans="1:5" ht="24.75" x14ac:dyDescent="0.25">
      <c r="A29" s="8" t="s">
        <v>338</v>
      </c>
      <c r="B29" s="8" t="s">
        <v>224</v>
      </c>
      <c r="C29" s="8" t="s">
        <v>205</v>
      </c>
      <c r="D29" s="8" t="s">
        <v>1660</v>
      </c>
      <c r="E29" s="8">
        <v>1</v>
      </c>
    </row>
    <row r="30" spans="1:5" ht="24.75" x14ac:dyDescent="0.25">
      <c r="A30" s="8" t="s">
        <v>338</v>
      </c>
      <c r="B30" s="8" t="s">
        <v>224</v>
      </c>
      <c r="C30" s="8" t="s">
        <v>205</v>
      </c>
      <c r="D30" s="8" t="s">
        <v>1661</v>
      </c>
      <c r="E30" s="8">
        <v>1</v>
      </c>
    </row>
    <row r="31" spans="1:5" ht="24.75" x14ac:dyDescent="0.25">
      <c r="A31" s="8" t="s">
        <v>338</v>
      </c>
      <c r="B31" s="8" t="s">
        <v>224</v>
      </c>
      <c r="C31" s="8" t="s">
        <v>205</v>
      </c>
      <c r="D31" s="8" t="s">
        <v>1662</v>
      </c>
      <c r="E31" s="8">
        <v>1</v>
      </c>
    </row>
    <row r="32" spans="1:5" ht="24.75" x14ac:dyDescent="0.25">
      <c r="A32" s="8" t="s">
        <v>338</v>
      </c>
      <c r="B32" s="8" t="s">
        <v>224</v>
      </c>
      <c r="C32" s="8" t="s">
        <v>205</v>
      </c>
      <c r="D32" s="8" t="s">
        <v>1663</v>
      </c>
      <c r="E32" s="8">
        <v>1</v>
      </c>
    </row>
    <row r="33" spans="1:5" ht="24.75" x14ac:dyDescent="0.25">
      <c r="A33" s="8" t="s">
        <v>338</v>
      </c>
      <c r="B33" s="8" t="s">
        <v>224</v>
      </c>
      <c r="C33" s="8" t="s">
        <v>205</v>
      </c>
      <c r="D33" s="8" t="s">
        <v>1664</v>
      </c>
      <c r="E33" s="8">
        <v>1</v>
      </c>
    </row>
    <row r="34" spans="1:5" ht="24.75" x14ac:dyDescent="0.25">
      <c r="A34" s="8" t="s">
        <v>338</v>
      </c>
      <c r="B34" s="8" t="s">
        <v>224</v>
      </c>
      <c r="C34" s="8" t="s">
        <v>205</v>
      </c>
      <c r="D34" s="8" t="s">
        <v>1665</v>
      </c>
      <c r="E34" s="8">
        <v>1</v>
      </c>
    </row>
    <row r="35" spans="1:5" ht="24.75" x14ac:dyDescent="0.25">
      <c r="A35" s="8" t="s">
        <v>338</v>
      </c>
      <c r="B35" s="8" t="s">
        <v>224</v>
      </c>
      <c r="C35" s="8" t="s">
        <v>205</v>
      </c>
      <c r="D35" s="8" t="s">
        <v>1666</v>
      </c>
      <c r="E35" s="8">
        <v>1</v>
      </c>
    </row>
    <row r="36" spans="1:5" ht="24.75" x14ac:dyDescent="0.25">
      <c r="A36" s="8" t="s">
        <v>338</v>
      </c>
      <c r="B36" s="8" t="s">
        <v>224</v>
      </c>
      <c r="C36" s="8" t="s">
        <v>205</v>
      </c>
      <c r="D36" s="8" t="s">
        <v>1667</v>
      </c>
      <c r="E36" s="8">
        <v>1</v>
      </c>
    </row>
    <row r="37" spans="1:5" ht="24.75" x14ac:dyDescent="0.25">
      <c r="A37" s="8" t="s">
        <v>338</v>
      </c>
      <c r="B37" s="8" t="s">
        <v>224</v>
      </c>
      <c r="C37" s="8" t="s">
        <v>205</v>
      </c>
      <c r="D37" s="8" t="s">
        <v>1668</v>
      </c>
      <c r="E37" s="8">
        <v>1</v>
      </c>
    </row>
    <row r="38" spans="1:5" ht="24.75" x14ac:dyDescent="0.25">
      <c r="A38" s="8" t="s">
        <v>338</v>
      </c>
      <c r="B38" s="8" t="s">
        <v>224</v>
      </c>
      <c r="C38" s="8" t="s">
        <v>205</v>
      </c>
      <c r="D38" s="8" t="s">
        <v>1669</v>
      </c>
      <c r="E38" s="8">
        <v>1</v>
      </c>
    </row>
    <row r="39" spans="1:5" ht="24.75" x14ac:dyDescent="0.25">
      <c r="A39" s="8" t="s">
        <v>338</v>
      </c>
      <c r="B39" s="8" t="s">
        <v>224</v>
      </c>
      <c r="C39" s="8" t="s">
        <v>205</v>
      </c>
      <c r="D39" s="8" t="s">
        <v>1670</v>
      </c>
      <c r="E39" s="8">
        <v>1</v>
      </c>
    </row>
    <row r="40" spans="1:5" ht="24.75" x14ac:dyDescent="0.25">
      <c r="A40" s="8" t="s">
        <v>338</v>
      </c>
      <c r="B40" s="8" t="s">
        <v>224</v>
      </c>
      <c r="C40" s="8" t="s">
        <v>205</v>
      </c>
      <c r="D40" s="8" t="s">
        <v>1671</v>
      </c>
      <c r="E40" s="8">
        <v>1</v>
      </c>
    </row>
    <row r="41" spans="1:5" ht="24.75" x14ac:dyDescent="0.25">
      <c r="A41" s="8" t="s">
        <v>338</v>
      </c>
      <c r="B41" s="8" t="s">
        <v>224</v>
      </c>
      <c r="C41" s="8" t="s">
        <v>205</v>
      </c>
      <c r="D41" s="8" t="s">
        <v>1672</v>
      </c>
      <c r="E41" s="8">
        <v>1</v>
      </c>
    </row>
    <row r="42" spans="1:5" ht="24.75" x14ac:dyDescent="0.25">
      <c r="A42" s="8" t="s">
        <v>338</v>
      </c>
      <c r="B42" s="8" t="s">
        <v>224</v>
      </c>
      <c r="C42" s="8" t="s">
        <v>205</v>
      </c>
      <c r="D42" s="8" t="s">
        <v>1673</v>
      </c>
      <c r="E42" s="8">
        <v>1</v>
      </c>
    </row>
    <row r="43" spans="1:5" ht="24.75" x14ac:dyDescent="0.25">
      <c r="A43" s="8" t="s">
        <v>338</v>
      </c>
      <c r="B43" s="8" t="s">
        <v>224</v>
      </c>
      <c r="C43" s="8" t="s">
        <v>205</v>
      </c>
      <c r="D43" s="8" t="s">
        <v>1674</v>
      </c>
      <c r="E43" s="8">
        <v>1</v>
      </c>
    </row>
    <row r="44" spans="1:5" ht="24.75" x14ac:dyDescent="0.25">
      <c r="A44" s="8" t="s">
        <v>338</v>
      </c>
      <c r="B44" s="8" t="s">
        <v>224</v>
      </c>
      <c r="C44" s="8" t="s">
        <v>205</v>
      </c>
      <c r="D44" s="8" t="s">
        <v>1675</v>
      </c>
      <c r="E44" s="8">
        <v>1</v>
      </c>
    </row>
    <row r="45" spans="1:5" ht="24.75" x14ac:dyDescent="0.25">
      <c r="A45" s="8" t="s">
        <v>338</v>
      </c>
      <c r="B45" s="8" t="s">
        <v>224</v>
      </c>
      <c r="C45" s="8" t="s">
        <v>205</v>
      </c>
      <c r="D45" s="8" t="s">
        <v>1676</v>
      </c>
      <c r="E45" s="8">
        <v>1</v>
      </c>
    </row>
    <row r="46" spans="1:5" ht="24.75" x14ac:dyDescent="0.25">
      <c r="A46" s="8" t="s">
        <v>338</v>
      </c>
      <c r="B46" s="8" t="s">
        <v>224</v>
      </c>
      <c r="C46" s="8" t="s">
        <v>205</v>
      </c>
      <c r="D46" s="8" t="s">
        <v>1677</v>
      </c>
      <c r="E46" s="8">
        <v>1</v>
      </c>
    </row>
    <row r="47" spans="1:5" ht="24.75" x14ac:dyDescent="0.25">
      <c r="A47" s="8" t="s">
        <v>338</v>
      </c>
      <c r="B47" s="8" t="s">
        <v>224</v>
      </c>
      <c r="C47" s="8" t="s">
        <v>205</v>
      </c>
      <c r="D47" s="8" t="s">
        <v>1678</v>
      </c>
      <c r="E47" s="8">
        <v>1</v>
      </c>
    </row>
    <row r="48" spans="1:5" ht="24.75" x14ac:dyDescent="0.25">
      <c r="A48" s="8" t="s">
        <v>338</v>
      </c>
      <c r="B48" s="8" t="s">
        <v>224</v>
      </c>
      <c r="C48" s="8" t="s">
        <v>205</v>
      </c>
      <c r="D48" s="8" t="s">
        <v>1679</v>
      </c>
      <c r="E48" s="8">
        <v>1</v>
      </c>
    </row>
    <row r="49" spans="1:5" ht="24.75" x14ac:dyDescent="0.25">
      <c r="A49" s="8" t="s">
        <v>338</v>
      </c>
      <c r="B49" s="8" t="s">
        <v>224</v>
      </c>
      <c r="C49" s="8" t="s">
        <v>205</v>
      </c>
      <c r="D49" s="8" t="s">
        <v>1680</v>
      </c>
      <c r="E49" s="8">
        <v>1</v>
      </c>
    </row>
    <row r="50" spans="1:5" ht="24.75" x14ac:dyDescent="0.25">
      <c r="A50" s="8" t="s">
        <v>338</v>
      </c>
      <c r="B50" s="8" t="s">
        <v>224</v>
      </c>
      <c r="C50" s="8" t="s">
        <v>205</v>
      </c>
      <c r="D50" s="8" t="s">
        <v>1681</v>
      </c>
      <c r="E50" s="8">
        <v>1</v>
      </c>
    </row>
    <row r="51" spans="1:5" ht="24.75" x14ac:dyDescent="0.25">
      <c r="A51" s="8" t="s">
        <v>338</v>
      </c>
      <c r="B51" s="8" t="s">
        <v>224</v>
      </c>
      <c r="C51" s="8" t="s">
        <v>205</v>
      </c>
      <c r="D51" s="8" t="s">
        <v>1682</v>
      </c>
      <c r="E51" s="8">
        <v>1</v>
      </c>
    </row>
    <row r="52" spans="1:5" ht="24.75" x14ac:dyDescent="0.25">
      <c r="A52" s="8" t="s">
        <v>338</v>
      </c>
      <c r="B52" s="8" t="s">
        <v>224</v>
      </c>
      <c r="C52" s="8" t="s">
        <v>205</v>
      </c>
      <c r="D52" s="8" t="s">
        <v>1683</v>
      </c>
      <c r="E52" s="8">
        <v>1</v>
      </c>
    </row>
    <row r="53" spans="1:5" ht="24.75" x14ac:dyDescent="0.25">
      <c r="A53" s="8" t="s">
        <v>338</v>
      </c>
      <c r="B53" s="8" t="s">
        <v>224</v>
      </c>
      <c r="C53" s="8" t="s">
        <v>205</v>
      </c>
      <c r="D53" s="8" t="s">
        <v>1684</v>
      </c>
      <c r="E53" s="8">
        <v>1</v>
      </c>
    </row>
    <row r="54" spans="1:5" ht="24.75" x14ac:dyDescent="0.25">
      <c r="A54" s="8" t="s">
        <v>338</v>
      </c>
      <c r="B54" s="8" t="s">
        <v>224</v>
      </c>
      <c r="C54" s="8" t="s">
        <v>205</v>
      </c>
      <c r="D54" s="8" t="s">
        <v>1685</v>
      </c>
      <c r="E54" s="8">
        <v>1</v>
      </c>
    </row>
    <row r="55" spans="1:5" ht="24.75" x14ac:dyDescent="0.25">
      <c r="A55" s="8" t="s">
        <v>338</v>
      </c>
      <c r="B55" s="8" t="s">
        <v>224</v>
      </c>
      <c r="C55" s="8" t="s">
        <v>205</v>
      </c>
      <c r="D55" s="8" t="s">
        <v>1686</v>
      </c>
      <c r="E55" s="8">
        <v>1</v>
      </c>
    </row>
    <row r="56" spans="1:5" ht="24.75" x14ac:dyDescent="0.25">
      <c r="A56" s="8" t="s">
        <v>338</v>
      </c>
      <c r="B56" s="8" t="s">
        <v>224</v>
      </c>
      <c r="C56" s="8" t="s">
        <v>205</v>
      </c>
      <c r="D56" s="8" t="s">
        <v>1687</v>
      </c>
      <c r="E56" s="8">
        <v>1</v>
      </c>
    </row>
    <row r="57" spans="1:5" ht="24.75" x14ac:dyDescent="0.25">
      <c r="A57" s="8" t="s">
        <v>338</v>
      </c>
      <c r="B57" s="8" t="s">
        <v>224</v>
      </c>
      <c r="C57" s="8" t="s">
        <v>205</v>
      </c>
      <c r="D57" s="8" t="s">
        <v>1688</v>
      </c>
      <c r="E57" s="8">
        <v>1</v>
      </c>
    </row>
    <row r="58" spans="1:5" ht="24.75" x14ac:dyDescent="0.25">
      <c r="A58" s="8" t="s">
        <v>338</v>
      </c>
      <c r="B58" s="8" t="s">
        <v>224</v>
      </c>
      <c r="C58" s="8" t="s">
        <v>205</v>
      </c>
      <c r="D58" s="8" t="s">
        <v>1689</v>
      </c>
      <c r="E58" s="8">
        <v>1</v>
      </c>
    </row>
    <row r="59" spans="1:5" ht="24.75" x14ac:dyDescent="0.25">
      <c r="A59" s="8" t="s">
        <v>338</v>
      </c>
      <c r="B59" s="8" t="s">
        <v>224</v>
      </c>
      <c r="C59" s="8" t="s">
        <v>205</v>
      </c>
      <c r="D59" s="8" t="s">
        <v>1690</v>
      </c>
      <c r="E59" s="8">
        <v>1</v>
      </c>
    </row>
    <row r="60" spans="1:5" ht="24.75" x14ac:dyDescent="0.25">
      <c r="A60" s="8" t="s">
        <v>338</v>
      </c>
      <c r="B60" s="8" t="s">
        <v>224</v>
      </c>
      <c r="C60" s="8" t="s">
        <v>205</v>
      </c>
      <c r="D60" s="8" t="s">
        <v>1691</v>
      </c>
      <c r="E60" s="8">
        <v>1</v>
      </c>
    </row>
    <row r="61" spans="1:5" ht="24.75" x14ac:dyDescent="0.25">
      <c r="A61" s="8" t="s">
        <v>338</v>
      </c>
      <c r="B61" s="8" t="s">
        <v>224</v>
      </c>
      <c r="C61" s="8" t="s">
        <v>205</v>
      </c>
      <c r="D61" s="8" t="s">
        <v>1692</v>
      </c>
      <c r="E61" s="8">
        <v>1</v>
      </c>
    </row>
    <row r="62" spans="1:5" ht="24.75" x14ac:dyDescent="0.25">
      <c r="A62" s="8" t="s">
        <v>338</v>
      </c>
      <c r="B62" s="8" t="s">
        <v>224</v>
      </c>
      <c r="C62" s="8" t="s">
        <v>205</v>
      </c>
      <c r="D62" s="8" t="s">
        <v>1693</v>
      </c>
      <c r="E62" s="8">
        <v>1</v>
      </c>
    </row>
    <row r="63" spans="1:5" ht="24.75" x14ac:dyDescent="0.25">
      <c r="A63" s="8" t="s">
        <v>338</v>
      </c>
      <c r="B63" s="8" t="s">
        <v>224</v>
      </c>
      <c r="C63" s="8" t="s">
        <v>205</v>
      </c>
      <c r="D63" s="8" t="s">
        <v>1694</v>
      </c>
      <c r="E63" s="8">
        <v>1</v>
      </c>
    </row>
    <row r="64" spans="1:5" ht="24.75" x14ac:dyDescent="0.25">
      <c r="A64" s="8" t="s">
        <v>338</v>
      </c>
      <c r="B64" s="8" t="s">
        <v>224</v>
      </c>
      <c r="C64" s="8" t="s">
        <v>205</v>
      </c>
      <c r="D64" s="8" t="s">
        <v>1695</v>
      </c>
      <c r="E64" s="8">
        <v>1</v>
      </c>
    </row>
    <row r="65" spans="1:5" ht="24.75" x14ac:dyDescent="0.25">
      <c r="A65" s="8" t="s">
        <v>338</v>
      </c>
      <c r="B65" s="8" t="s">
        <v>224</v>
      </c>
      <c r="C65" s="8" t="s">
        <v>205</v>
      </c>
      <c r="D65" s="8" t="s">
        <v>1696</v>
      </c>
      <c r="E65" s="8">
        <v>1</v>
      </c>
    </row>
    <row r="66" spans="1:5" ht="24.75" x14ac:dyDescent="0.25">
      <c r="A66" s="8" t="s">
        <v>338</v>
      </c>
      <c r="B66" s="8" t="s">
        <v>224</v>
      </c>
      <c r="C66" s="8" t="s">
        <v>205</v>
      </c>
      <c r="D66" s="8" t="s">
        <v>1697</v>
      </c>
      <c r="E66" s="8">
        <v>1</v>
      </c>
    </row>
    <row r="67" spans="1:5" ht="24.75" x14ac:dyDescent="0.25">
      <c r="A67" s="8" t="s">
        <v>338</v>
      </c>
      <c r="B67" s="8" t="s">
        <v>224</v>
      </c>
      <c r="C67" s="8" t="s">
        <v>205</v>
      </c>
      <c r="D67" s="8" t="s">
        <v>1698</v>
      </c>
      <c r="E67" s="8">
        <v>1</v>
      </c>
    </row>
    <row r="68" spans="1:5" ht="24.75" x14ac:dyDescent="0.25">
      <c r="A68" s="8" t="s">
        <v>338</v>
      </c>
      <c r="B68" s="8" t="s">
        <v>224</v>
      </c>
      <c r="C68" s="8" t="s">
        <v>205</v>
      </c>
      <c r="D68" s="8" t="s">
        <v>1699</v>
      </c>
      <c r="E68" s="8">
        <v>1</v>
      </c>
    </row>
    <row r="69" spans="1:5" ht="24.75" x14ac:dyDescent="0.25">
      <c r="A69" s="8" t="s">
        <v>338</v>
      </c>
      <c r="B69" s="8" t="s">
        <v>224</v>
      </c>
      <c r="C69" s="8" t="s">
        <v>205</v>
      </c>
      <c r="D69" s="8" t="s">
        <v>1700</v>
      </c>
      <c r="E69" s="8">
        <v>1</v>
      </c>
    </row>
    <row r="70" spans="1:5" ht="24.75" x14ac:dyDescent="0.25">
      <c r="A70" s="8" t="s">
        <v>338</v>
      </c>
      <c r="B70" s="8" t="s">
        <v>224</v>
      </c>
      <c r="C70" s="8" t="s">
        <v>205</v>
      </c>
      <c r="D70" s="8" t="s">
        <v>1701</v>
      </c>
      <c r="E70" s="8">
        <v>1</v>
      </c>
    </row>
    <row r="71" spans="1:5" ht="24.75" x14ac:dyDescent="0.25">
      <c r="A71" s="8" t="s">
        <v>338</v>
      </c>
      <c r="B71" s="8" t="s">
        <v>224</v>
      </c>
      <c r="C71" s="8" t="s">
        <v>205</v>
      </c>
      <c r="D71" s="8" t="s">
        <v>1702</v>
      </c>
      <c r="E71" s="8">
        <v>1</v>
      </c>
    </row>
    <row r="72" spans="1:5" ht="24.75" x14ac:dyDescent="0.25">
      <c r="A72" s="8" t="s">
        <v>338</v>
      </c>
      <c r="B72" s="8" t="s">
        <v>224</v>
      </c>
      <c r="C72" s="8" t="s">
        <v>205</v>
      </c>
      <c r="D72" s="8" t="s">
        <v>1703</v>
      </c>
      <c r="E72" s="8">
        <v>1</v>
      </c>
    </row>
    <row r="73" spans="1:5" ht="24.75" x14ac:dyDescent="0.25">
      <c r="A73" s="8" t="s">
        <v>338</v>
      </c>
      <c r="B73" s="8" t="s">
        <v>224</v>
      </c>
      <c r="C73" s="8" t="s">
        <v>205</v>
      </c>
      <c r="D73" s="8" t="s">
        <v>1704</v>
      </c>
      <c r="E73" s="8">
        <v>1</v>
      </c>
    </row>
    <row r="74" spans="1:5" ht="24.75" x14ac:dyDescent="0.25">
      <c r="A74" s="8" t="s">
        <v>338</v>
      </c>
      <c r="B74" s="8" t="s">
        <v>224</v>
      </c>
      <c r="C74" s="8" t="s">
        <v>205</v>
      </c>
      <c r="D74" s="8" t="s">
        <v>1705</v>
      </c>
      <c r="E74" s="8">
        <v>1</v>
      </c>
    </row>
    <row r="75" spans="1:5" ht="24.75" x14ac:dyDescent="0.25">
      <c r="A75" s="8" t="s">
        <v>338</v>
      </c>
      <c r="B75" s="8" t="s">
        <v>224</v>
      </c>
      <c r="C75" s="8" t="s">
        <v>205</v>
      </c>
      <c r="D75" s="8" t="s">
        <v>1706</v>
      </c>
      <c r="E75" s="8">
        <v>1</v>
      </c>
    </row>
    <row r="76" spans="1:5" ht="24.75" x14ac:dyDescent="0.25">
      <c r="A76" s="8" t="s">
        <v>338</v>
      </c>
      <c r="B76" s="8" t="s">
        <v>224</v>
      </c>
      <c r="C76" s="8" t="s">
        <v>205</v>
      </c>
      <c r="D76" s="8" t="s">
        <v>1707</v>
      </c>
      <c r="E76" s="8">
        <v>1</v>
      </c>
    </row>
    <row r="77" spans="1:5" ht="24.75" x14ac:dyDescent="0.25">
      <c r="A77" s="8" t="s">
        <v>338</v>
      </c>
      <c r="B77" s="8" t="s">
        <v>224</v>
      </c>
      <c r="C77" s="8" t="s">
        <v>205</v>
      </c>
      <c r="D77" s="8" t="s">
        <v>1708</v>
      </c>
      <c r="E77" s="8">
        <v>1</v>
      </c>
    </row>
    <row r="78" spans="1:5" ht="24.75" x14ac:dyDescent="0.25">
      <c r="A78" s="8" t="s">
        <v>338</v>
      </c>
      <c r="B78" s="8" t="s">
        <v>224</v>
      </c>
      <c r="C78" s="8" t="s">
        <v>205</v>
      </c>
      <c r="D78" s="8" t="s">
        <v>1709</v>
      </c>
      <c r="E78" s="8">
        <v>1</v>
      </c>
    </row>
    <row r="79" spans="1:5" ht="24.75" x14ac:dyDescent="0.25">
      <c r="A79" s="8" t="s">
        <v>338</v>
      </c>
      <c r="B79" s="8" t="s">
        <v>224</v>
      </c>
      <c r="C79" s="8" t="s">
        <v>205</v>
      </c>
      <c r="D79" s="8" t="s">
        <v>1710</v>
      </c>
      <c r="E79" s="8">
        <v>1</v>
      </c>
    </row>
    <row r="80" spans="1:5" ht="24.75" x14ac:dyDescent="0.25">
      <c r="A80" s="8" t="s">
        <v>338</v>
      </c>
      <c r="B80" s="8" t="s">
        <v>224</v>
      </c>
      <c r="C80" s="8" t="s">
        <v>205</v>
      </c>
      <c r="D80" s="8" t="s">
        <v>1711</v>
      </c>
      <c r="E80" s="8">
        <v>1</v>
      </c>
    </row>
    <row r="81" spans="1:5" ht="24.75" x14ac:dyDescent="0.25">
      <c r="A81" s="8" t="s">
        <v>338</v>
      </c>
      <c r="B81" s="8" t="s">
        <v>224</v>
      </c>
      <c r="C81" s="8" t="s">
        <v>205</v>
      </c>
      <c r="D81" s="8" t="s">
        <v>1712</v>
      </c>
      <c r="E81" s="8">
        <v>1</v>
      </c>
    </row>
    <row r="82" spans="1:5" ht="24.75" x14ac:dyDescent="0.25">
      <c r="A82" s="8" t="s">
        <v>338</v>
      </c>
      <c r="B82" s="8" t="s">
        <v>224</v>
      </c>
      <c r="C82" s="8" t="s">
        <v>205</v>
      </c>
      <c r="D82" s="8" t="s">
        <v>1713</v>
      </c>
      <c r="E82" s="8">
        <v>1</v>
      </c>
    </row>
    <row r="83" spans="1:5" ht="24.75" x14ac:dyDescent="0.25">
      <c r="A83" s="8" t="s">
        <v>338</v>
      </c>
      <c r="B83" s="8" t="s">
        <v>224</v>
      </c>
      <c r="C83" s="8" t="s">
        <v>205</v>
      </c>
      <c r="D83" s="8" t="s">
        <v>1714</v>
      </c>
      <c r="E83" s="8">
        <v>1</v>
      </c>
    </row>
    <row r="84" spans="1:5" ht="24.75" x14ac:dyDescent="0.25">
      <c r="A84" s="8" t="s">
        <v>338</v>
      </c>
      <c r="B84" s="8" t="s">
        <v>224</v>
      </c>
      <c r="C84" s="8" t="s">
        <v>205</v>
      </c>
      <c r="D84" s="8" t="s">
        <v>1715</v>
      </c>
      <c r="E84" s="8">
        <v>1</v>
      </c>
    </row>
    <row r="85" spans="1:5" ht="24.75" x14ac:dyDescent="0.25">
      <c r="A85" s="8" t="s">
        <v>338</v>
      </c>
      <c r="B85" s="8" t="s">
        <v>224</v>
      </c>
      <c r="C85" s="8" t="s">
        <v>205</v>
      </c>
      <c r="D85" s="8" t="s">
        <v>1716</v>
      </c>
      <c r="E85" s="8">
        <v>1</v>
      </c>
    </row>
    <row r="86" spans="1:5" ht="24.75" x14ac:dyDescent="0.25">
      <c r="A86" s="8" t="s">
        <v>338</v>
      </c>
      <c r="B86" s="8" t="s">
        <v>224</v>
      </c>
      <c r="C86" s="8" t="s">
        <v>205</v>
      </c>
      <c r="D86" s="8" t="s">
        <v>1717</v>
      </c>
      <c r="E86" s="8">
        <v>1</v>
      </c>
    </row>
    <row r="87" spans="1:5" ht="24.75" x14ac:dyDescent="0.25">
      <c r="A87" s="8" t="s">
        <v>338</v>
      </c>
      <c r="B87" s="8" t="s">
        <v>224</v>
      </c>
      <c r="C87" s="8" t="s">
        <v>205</v>
      </c>
      <c r="D87" s="8" t="s">
        <v>1718</v>
      </c>
      <c r="E87" s="8">
        <v>1</v>
      </c>
    </row>
    <row r="88" spans="1:5" ht="24.75" x14ac:dyDescent="0.25">
      <c r="A88" s="8" t="s">
        <v>338</v>
      </c>
      <c r="B88" s="8" t="s">
        <v>224</v>
      </c>
      <c r="C88" s="8" t="s">
        <v>205</v>
      </c>
      <c r="D88" s="8" t="s">
        <v>1719</v>
      </c>
      <c r="E88" s="8">
        <v>1</v>
      </c>
    </row>
    <row r="89" spans="1:5" ht="24.75" x14ac:dyDescent="0.25">
      <c r="A89" s="8" t="s">
        <v>338</v>
      </c>
      <c r="B89" s="8" t="s">
        <v>224</v>
      </c>
      <c r="C89" s="8" t="s">
        <v>205</v>
      </c>
      <c r="D89" s="8" t="s">
        <v>1720</v>
      </c>
      <c r="E89" s="8">
        <v>1</v>
      </c>
    </row>
    <row r="90" spans="1:5" ht="24.75" x14ac:dyDescent="0.25">
      <c r="A90" s="8" t="s">
        <v>338</v>
      </c>
      <c r="B90" s="8" t="s">
        <v>224</v>
      </c>
      <c r="C90" s="8" t="s">
        <v>205</v>
      </c>
      <c r="D90" s="8" t="s">
        <v>1721</v>
      </c>
      <c r="E90" s="8">
        <v>1</v>
      </c>
    </row>
    <row r="91" spans="1:5" ht="24.75" x14ac:dyDescent="0.25">
      <c r="A91" s="8" t="s">
        <v>338</v>
      </c>
      <c r="B91" s="8" t="s">
        <v>224</v>
      </c>
      <c r="C91" s="8" t="s">
        <v>205</v>
      </c>
      <c r="D91" s="8" t="s">
        <v>1722</v>
      </c>
      <c r="E91" s="8">
        <v>1</v>
      </c>
    </row>
    <row r="92" spans="1:5" ht="24.75" x14ac:dyDescent="0.25">
      <c r="A92" s="8" t="s">
        <v>338</v>
      </c>
      <c r="B92" s="8" t="s">
        <v>224</v>
      </c>
      <c r="C92" s="8" t="s">
        <v>205</v>
      </c>
      <c r="D92" s="8" t="s">
        <v>1723</v>
      </c>
      <c r="E92" s="8">
        <v>1</v>
      </c>
    </row>
    <row r="93" spans="1:5" ht="24.75" x14ac:dyDescent="0.25">
      <c r="A93" s="8" t="s">
        <v>338</v>
      </c>
      <c r="B93" s="8" t="s">
        <v>224</v>
      </c>
      <c r="C93" s="8" t="s">
        <v>205</v>
      </c>
      <c r="D93" s="8" t="s">
        <v>1724</v>
      </c>
      <c r="E93" s="8">
        <v>1</v>
      </c>
    </row>
    <row r="94" spans="1:5" ht="24.75" x14ac:dyDescent="0.25">
      <c r="A94" s="8" t="s">
        <v>338</v>
      </c>
      <c r="B94" s="8" t="s">
        <v>224</v>
      </c>
      <c r="C94" s="8" t="s">
        <v>205</v>
      </c>
      <c r="D94" s="8" t="s">
        <v>1725</v>
      </c>
      <c r="E94" s="8">
        <v>1</v>
      </c>
    </row>
    <row r="95" spans="1:5" ht="24.75" x14ac:dyDescent="0.25">
      <c r="A95" s="8" t="s">
        <v>338</v>
      </c>
      <c r="B95" s="8" t="s">
        <v>224</v>
      </c>
      <c r="C95" s="8" t="s">
        <v>205</v>
      </c>
      <c r="D95" s="8" t="s">
        <v>1726</v>
      </c>
      <c r="E95" s="8">
        <v>1</v>
      </c>
    </row>
    <row r="96" spans="1:5" ht="24.75" x14ac:dyDescent="0.25">
      <c r="A96" s="8" t="s">
        <v>338</v>
      </c>
      <c r="B96" s="8" t="s">
        <v>224</v>
      </c>
      <c r="C96" s="8" t="s">
        <v>205</v>
      </c>
      <c r="D96" s="8" t="s">
        <v>1727</v>
      </c>
      <c r="E96" s="8">
        <v>1</v>
      </c>
    </row>
    <row r="97" spans="1:5" ht="24.75" x14ac:dyDescent="0.25">
      <c r="A97" s="8" t="s">
        <v>338</v>
      </c>
      <c r="B97" s="8" t="s">
        <v>224</v>
      </c>
      <c r="C97" s="8" t="s">
        <v>205</v>
      </c>
      <c r="D97" s="8" t="s">
        <v>1728</v>
      </c>
      <c r="E97" s="8">
        <v>1</v>
      </c>
    </row>
    <row r="98" spans="1:5" ht="24.75" x14ac:dyDescent="0.25">
      <c r="A98" s="8" t="s">
        <v>338</v>
      </c>
      <c r="B98" s="8" t="s">
        <v>224</v>
      </c>
      <c r="C98" s="8" t="s">
        <v>205</v>
      </c>
      <c r="D98" s="8" t="s">
        <v>1729</v>
      </c>
      <c r="E98" s="8">
        <v>1</v>
      </c>
    </row>
    <row r="99" spans="1:5" ht="24.75" x14ac:dyDescent="0.25">
      <c r="A99" s="8" t="s">
        <v>338</v>
      </c>
      <c r="B99" s="8" t="s">
        <v>224</v>
      </c>
      <c r="C99" s="8" t="s">
        <v>205</v>
      </c>
      <c r="D99" s="8" t="s">
        <v>1730</v>
      </c>
      <c r="E99" s="8">
        <v>1</v>
      </c>
    </row>
    <row r="100" spans="1:5" ht="24.75" x14ac:dyDescent="0.25">
      <c r="A100" s="8" t="s">
        <v>338</v>
      </c>
      <c r="B100" s="8" t="s">
        <v>224</v>
      </c>
      <c r="C100" s="8" t="s">
        <v>205</v>
      </c>
      <c r="D100" s="8" t="s">
        <v>1731</v>
      </c>
      <c r="E100" s="8">
        <v>1</v>
      </c>
    </row>
    <row r="101" spans="1:5" ht="24.75" x14ac:dyDescent="0.25">
      <c r="A101" s="8" t="s">
        <v>338</v>
      </c>
      <c r="B101" s="8" t="s">
        <v>224</v>
      </c>
      <c r="C101" s="8" t="s">
        <v>205</v>
      </c>
      <c r="D101" s="8" t="s">
        <v>1732</v>
      </c>
      <c r="E101" s="8">
        <v>1</v>
      </c>
    </row>
    <row r="102" spans="1:5" ht="24.75" x14ac:dyDescent="0.25">
      <c r="A102" s="8" t="s">
        <v>338</v>
      </c>
      <c r="B102" s="8" t="s">
        <v>224</v>
      </c>
      <c r="C102" s="8" t="s">
        <v>205</v>
      </c>
      <c r="D102" s="8" t="s">
        <v>1733</v>
      </c>
      <c r="E102" s="8">
        <v>1</v>
      </c>
    </row>
    <row r="103" spans="1:5" ht="24.75" x14ac:dyDescent="0.25">
      <c r="A103" s="8" t="s">
        <v>338</v>
      </c>
      <c r="B103" s="8" t="s">
        <v>224</v>
      </c>
      <c r="C103" s="8" t="s">
        <v>205</v>
      </c>
      <c r="D103" s="8" t="s">
        <v>1734</v>
      </c>
      <c r="E103" s="8">
        <v>1</v>
      </c>
    </row>
    <row r="104" spans="1:5" ht="24.75" x14ac:dyDescent="0.25">
      <c r="A104" s="8" t="s">
        <v>338</v>
      </c>
      <c r="B104" s="8" t="s">
        <v>224</v>
      </c>
      <c r="C104" s="8" t="s">
        <v>205</v>
      </c>
      <c r="D104" s="8" t="s">
        <v>1735</v>
      </c>
      <c r="E104" s="8">
        <v>1</v>
      </c>
    </row>
    <row r="105" spans="1:5" ht="24.75" x14ac:dyDescent="0.25">
      <c r="A105" s="8" t="s">
        <v>338</v>
      </c>
      <c r="B105" s="8" t="s">
        <v>224</v>
      </c>
      <c r="C105" s="8" t="s">
        <v>205</v>
      </c>
      <c r="D105" s="8" t="s">
        <v>1736</v>
      </c>
      <c r="E105" s="8">
        <v>1</v>
      </c>
    </row>
    <row r="106" spans="1:5" ht="24.75" x14ac:dyDescent="0.25">
      <c r="A106" s="8" t="s">
        <v>338</v>
      </c>
      <c r="B106" s="8" t="s">
        <v>224</v>
      </c>
      <c r="C106" s="8" t="s">
        <v>205</v>
      </c>
      <c r="D106" s="8" t="s">
        <v>1737</v>
      </c>
      <c r="E106" s="8">
        <v>1</v>
      </c>
    </row>
    <row r="107" spans="1:5" ht="24.75" x14ac:dyDescent="0.25">
      <c r="A107" s="8" t="s">
        <v>338</v>
      </c>
      <c r="B107" s="8" t="s">
        <v>224</v>
      </c>
      <c r="C107" s="8" t="s">
        <v>205</v>
      </c>
      <c r="D107" s="8" t="s">
        <v>1738</v>
      </c>
      <c r="E107" s="8">
        <v>1</v>
      </c>
    </row>
    <row r="108" spans="1:5" ht="24.75" x14ac:dyDescent="0.25">
      <c r="A108" s="8" t="s">
        <v>338</v>
      </c>
      <c r="B108" s="8" t="s">
        <v>224</v>
      </c>
      <c r="C108" s="8" t="s">
        <v>205</v>
      </c>
      <c r="D108" s="8" t="s">
        <v>1739</v>
      </c>
      <c r="E108" s="8">
        <v>1</v>
      </c>
    </row>
    <row r="109" spans="1:5" ht="24.75" x14ac:dyDescent="0.25">
      <c r="A109" s="8" t="s">
        <v>338</v>
      </c>
      <c r="B109" s="8" t="s">
        <v>224</v>
      </c>
      <c r="C109" s="8" t="s">
        <v>205</v>
      </c>
      <c r="D109" s="8" t="s">
        <v>1740</v>
      </c>
      <c r="E109" s="8">
        <v>1</v>
      </c>
    </row>
    <row r="110" spans="1:5" ht="24.75" x14ac:dyDescent="0.25">
      <c r="A110" s="8" t="s">
        <v>338</v>
      </c>
      <c r="B110" s="8" t="s">
        <v>224</v>
      </c>
      <c r="C110" s="8" t="s">
        <v>205</v>
      </c>
      <c r="D110" s="8" t="s">
        <v>1741</v>
      </c>
      <c r="E110" s="8">
        <v>1</v>
      </c>
    </row>
    <row r="111" spans="1:5" ht="24.75" x14ac:dyDescent="0.25">
      <c r="A111" s="8" t="s">
        <v>338</v>
      </c>
      <c r="B111" s="8" t="s">
        <v>224</v>
      </c>
      <c r="C111" s="8" t="s">
        <v>205</v>
      </c>
      <c r="D111" s="8" t="s">
        <v>1742</v>
      </c>
      <c r="E111" s="8">
        <v>1</v>
      </c>
    </row>
    <row r="112" spans="1:5" ht="24.75" x14ac:dyDescent="0.25">
      <c r="A112" s="8" t="s">
        <v>338</v>
      </c>
      <c r="B112" s="8" t="s">
        <v>224</v>
      </c>
      <c r="C112" s="8" t="s">
        <v>205</v>
      </c>
      <c r="D112" s="8" t="s">
        <v>1743</v>
      </c>
      <c r="E112" s="8">
        <v>1</v>
      </c>
    </row>
    <row r="113" spans="1:5" ht="24.75" x14ac:dyDescent="0.25">
      <c r="A113" s="8" t="s">
        <v>338</v>
      </c>
      <c r="B113" s="8" t="s">
        <v>224</v>
      </c>
      <c r="C113" s="8" t="s">
        <v>205</v>
      </c>
      <c r="D113" s="8" t="s">
        <v>1744</v>
      </c>
      <c r="E113" s="8">
        <v>1</v>
      </c>
    </row>
    <row r="114" spans="1:5" ht="24.75" x14ac:dyDescent="0.25">
      <c r="A114" s="8" t="s">
        <v>338</v>
      </c>
      <c r="B114" s="8" t="s">
        <v>224</v>
      </c>
      <c r="C114" s="8" t="s">
        <v>205</v>
      </c>
      <c r="D114" s="8" t="s">
        <v>1745</v>
      </c>
      <c r="E114" s="8">
        <v>1</v>
      </c>
    </row>
    <row r="115" spans="1:5" ht="24.75" x14ac:dyDescent="0.25">
      <c r="A115" s="8" t="s">
        <v>338</v>
      </c>
      <c r="B115" s="8" t="s">
        <v>224</v>
      </c>
      <c r="C115" s="8" t="s">
        <v>205</v>
      </c>
      <c r="D115" s="8" t="s">
        <v>1746</v>
      </c>
      <c r="E115" s="8">
        <v>1</v>
      </c>
    </row>
    <row r="116" spans="1:5" ht="24.75" x14ac:dyDescent="0.25">
      <c r="A116" s="8" t="s">
        <v>338</v>
      </c>
      <c r="B116" s="8" t="s">
        <v>224</v>
      </c>
      <c r="C116" s="8" t="s">
        <v>205</v>
      </c>
      <c r="D116" s="8" t="s">
        <v>1747</v>
      </c>
      <c r="E116" s="8">
        <v>1</v>
      </c>
    </row>
    <row r="117" spans="1:5" ht="24.75" x14ac:dyDescent="0.25">
      <c r="A117" s="8" t="s">
        <v>338</v>
      </c>
      <c r="B117" s="8" t="s">
        <v>224</v>
      </c>
      <c r="C117" s="8" t="s">
        <v>205</v>
      </c>
      <c r="D117" s="8" t="s">
        <v>1748</v>
      </c>
      <c r="E117" s="8">
        <v>1</v>
      </c>
    </row>
    <row r="118" spans="1:5" ht="24.75" x14ac:dyDescent="0.25">
      <c r="A118" s="8" t="s">
        <v>338</v>
      </c>
      <c r="B118" s="8" t="s">
        <v>224</v>
      </c>
      <c r="C118" s="8" t="s">
        <v>205</v>
      </c>
      <c r="D118" s="8" t="s">
        <v>1749</v>
      </c>
      <c r="E118" s="8">
        <v>1</v>
      </c>
    </row>
    <row r="119" spans="1:5" ht="24.75" x14ac:dyDescent="0.25">
      <c r="A119" s="8" t="s">
        <v>338</v>
      </c>
      <c r="B119" s="8" t="s">
        <v>224</v>
      </c>
      <c r="C119" s="8" t="s">
        <v>205</v>
      </c>
      <c r="D119" s="8" t="s">
        <v>1750</v>
      </c>
      <c r="E119" s="8">
        <v>1</v>
      </c>
    </row>
    <row r="120" spans="1:5" ht="24.75" x14ac:dyDescent="0.25">
      <c r="A120" s="8" t="s">
        <v>338</v>
      </c>
      <c r="B120" s="8" t="s">
        <v>224</v>
      </c>
      <c r="C120" s="8" t="s">
        <v>205</v>
      </c>
      <c r="D120" s="8" t="s">
        <v>1751</v>
      </c>
      <c r="E120" s="8">
        <v>1</v>
      </c>
    </row>
    <row r="121" spans="1:5" ht="24.75" x14ac:dyDescent="0.25">
      <c r="A121" s="8" t="s">
        <v>338</v>
      </c>
      <c r="B121" s="8" t="s">
        <v>224</v>
      </c>
      <c r="C121" s="8" t="s">
        <v>205</v>
      </c>
      <c r="D121" s="8" t="s">
        <v>1752</v>
      </c>
      <c r="E121" s="8">
        <v>1</v>
      </c>
    </row>
    <row r="122" spans="1:5" ht="24.75" x14ac:dyDescent="0.25">
      <c r="A122" s="8" t="s">
        <v>338</v>
      </c>
      <c r="B122" s="8" t="s">
        <v>224</v>
      </c>
      <c r="C122" s="8" t="s">
        <v>205</v>
      </c>
      <c r="D122" s="8" t="s">
        <v>1753</v>
      </c>
      <c r="E122" s="8">
        <v>1</v>
      </c>
    </row>
    <row r="123" spans="1:5" ht="24.75" x14ac:dyDescent="0.25">
      <c r="A123" s="8" t="s">
        <v>338</v>
      </c>
      <c r="B123" s="8" t="s">
        <v>224</v>
      </c>
      <c r="C123" s="8" t="s">
        <v>205</v>
      </c>
      <c r="D123" s="8" t="s">
        <v>1754</v>
      </c>
      <c r="E123" s="8">
        <v>1</v>
      </c>
    </row>
    <row r="124" spans="1:5" ht="24.75" x14ac:dyDescent="0.25">
      <c r="A124" s="8" t="s">
        <v>338</v>
      </c>
      <c r="B124" s="8" t="s">
        <v>224</v>
      </c>
      <c r="C124" s="8" t="s">
        <v>205</v>
      </c>
      <c r="D124" s="8" t="s">
        <v>1755</v>
      </c>
      <c r="E124" s="8">
        <v>1</v>
      </c>
    </row>
    <row r="125" spans="1:5" ht="24.75" x14ac:dyDescent="0.25">
      <c r="A125" s="8" t="s">
        <v>338</v>
      </c>
      <c r="B125" s="8" t="s">
        <v>224</v>
      </c>
      <c r="C125" s="8" t="s">
        <v>205</v>
      </c>
      <c r="D125" s="8" t="s">
        <v>1756</v>
      </c>
      <c r="E125" s="8">
        <v>1</v>
      </c>
    </row>
    <row r="126" spans="1:5" ht="24.75" x14ac:dyDescent="0.25">
      <c r="A126" s="8" t="s">
        <v>338</v>
      </c>
      <c r="B126" s="8" t="s">
        <v>224</v>
      </c>
      <c r="C126" s="8" t="s">
        <v>205</v>
      </c>
      <c r="D126" s="8" t="s">
        <v>1757</v>
      </c>
      <c r="E126" s="8">
        <v>1</v>
      </c>
    </row>
    <row r="127" spans="1:5" ht="24.75" x14ac:dyDescent="0.25">
      <c r="A127" s="8" t="s">
        <v>338</v>
      </c>
      <c r="B127" s="8" t="s">
        <v>224</v>
      </c>
      <c r="C127" s="8" t="s">
        <v>205</v>
      </c>
      <c r="D127" s="8" t="s">
        <v>1758</v>
      </c>
      <c r="E127" s="8">
        <v>1</v>
      </c>
    </row>
    <row r="128" spans="1:5" ht="24.75" x14ac:dyDescent="0.25">
      <c r="A128" s="8" t="s">
        <v>338</v>
      </c>
      <c r="B128" s="8" t="s">
        <v>224</v>
      </c>
      <c r="C128" s="8" t="s">
        <v>205</v>
      </c>
      <c r="D128" s="8" t="s">
        <v>1759</v>
      </c>
      <c r="E128" s="8">
        <v>1</v>
      </c>
    </row>
    <row r="129" spans="1:5" ht="24.75" x14ac:dyDescent="0.25">
      <c r="A129" s="8" t="s">
        <v>338</v>
      </c>
      <c r="B129" s="8" t="s">
        <v>224</v>
      </c>
      <c r="C129" s="8" t="s">
        <v>205</v>
      </c>
      <c r="D129" s="8" t="s">
        <v>1760</v>
      </c>
      <c r="E129" s="8">
        <v>1</v>
      </c>
    </row>
    <row r="130" spans="1:5" ht="24.75" x14ac:dyDescent="0.25">
      <c r="A130" s="8" t="s">
        <v>338</v>
      </c>
      <c r="B130" s="8" t="s">
        <v>224</v>
      </c>
      <c r="C130" s="8" t="s">
        <v>205</v>
      </c>
      <c r="D130" s="8" t="s">
        <v>1761</v>
      </c>
      <c r="E130" s="8">
        <v>1</v>
      </c>
    </row>
    <row r="131" spans="1:5" ht="24.75" x14ac:dyDescent="0.25">
      <c r="A131" s="8" t="s">
        <v>338</v>
      </c>
      <c r="B131" s="8" t="s">
        <v>224</v>
      </c>
      <c r="C131" s="8" t="s">
        <v>205</v>
      </c>
      <c r="D131" s="8" t="s">
        <v>1762</v>
      </c>
      <c r="E131" s="8">
        <v>1</v>
      </c>
    </row>
    <row r="132" spans="1:5" ht="24.75" x14ac:dyDescent="0.25">
      <c r="A132" s="8" t="s">
        <v>338</v>
      </c>
      <c r="B132" s="8" t="s">
        <v>224</v>
      </c>
      <c r="C132" s="8" t="s">
        <v>205</v>
      </c>
      <c r="D132" s="8" t="s">
        <v>1763</v>
      </c>
      <c r="E132" s="8">
        <v>1</v>
      </c>
    </row>
    <row r="133" spans="1:5" ht="24.75" x14ac:dyDescent="0.25">
      <c r="A133" s="8" t="s">
        <v>338</v>
      </c>
      <c r="B133" s="8" t="s">
        <v>224</v>
      </c>
      <c r="C133" s="8" t="s">
        <v>205</v>
      </c>
      <c r="D133" s="8" t="s">
        <v>1764</v>
      </c>
      <c r="E133" s="8">
        <v>1</v>
      </c>
    </row>
    <row r="134" spans="1:5" ht="24.75" x14ac:dyDescent="0.25">
      <c r="A134" s="8" t="s">
        <v>338</v>
      </c>
      <c r="B134" s="8" t="s">
        <v>224</v>
      </c>
      <c r="C134" s="8" t="s">
        <v>205</v>
      </c>
      <c r="D134" s="8" t="s">
        <v>1765</v>
      </c>
      <c r="E134" s="8">
        <v>1</v>
      </c>
    </row>
    <row r="135" spans="1:5" ht="24.75" x14ac:dyDescent="0.25">
      <c r="A135" s="8" t="s">
        <v>338</v>
      </c>
      <c r="B135" s="8" t="s">
        <v>224</v>
      </c>
      <c r="C135" s="8" t="s">
        <v>205</v>
      </c>
      <c r="D135" s="8" t="s">
        <v>1766</v>
      </c>
      <c r="E135" s="8">
        <v>1</v>
      </c>
    </row>
    <row r="136" spans="1:5" ht="24.75" x14ac:dyDescent="0.25">
      <c r="A136" s="8" t="s">
        <v>338</v>
      </c>
      <c r="B136" s="8" t="s">
        <v>224</v>
      </c>
      <c r="C136" s="8" t="s">
        <v>205</v>
      </c>
      <c r="D136" s="8" t="s">
        <v>1767</v>
      </c>
      <c r="E136" s="8">
        <v>1</v>
      </c>
    </row>
    <row r="137" spans="1:5" ht="24.75" x14ac:dyDescent="0.25">
      <c r="A137" s="8" t="s">
        <v>338</v>
      </c>
      <c r="B137" s="8" t="s">
        <v>224</v>
      </c>
      <c r="C137" s="8" t="s">
        <v>205</v>
      </c>
      <c r="D137" s="8" t="s">
        <v>1768</v>
      </c>
      <c r="E137" s="8">
        <v>1</v>
      </c>
    </row>
    <row r="138" spans="1:5" ht="24.75" x14ac:dyDescent="0.25">
      <c r="A138" s="8" t="s">
        <v>338</v>
      </c>
      <c r="B138" s="8" t="s">
        <v>224</v>
      </c>
      <c r="C138" s="8" t="s">
        <v>205</v>
      </c>
      <c r="D138" s="8" t="s">
        <v>1769</v>
      </c>
      <c r="E138" s="8">
        <v>1</v>
      </c>
    </row>
    <row r="139" spans="1:5" ht="24.75" x14ac:dyDescent="0.25">
      <c r="A139" s="8" t="s">
        <v>338</v>
      </c>
      <c r="B139" s="8" t="s">
        <v>224</v>
      </c>
      <c r="C139" s="8" t="s">
        <v>205</v>
      </c>
      <c r="D139" s="8" t="s">
        <v>1770</v>
      </c>
      <c r="E139" s="8">
        <v>1</v>
      </c>
    </row>
    <row r="140" spans="1:5" ht="24.75" x14ac:dyDescent="0.25">
      <c r="A140" s="8" t="s">
        <v>338</v>
      </c>
      <c r="B140" s="8" t="s">
        <v>224</v>
      </c>
      <c r="C140" s="8" t="s">
        <v>205</v>
      </c>
      <c r="D140" s="8" t="s">
        <v>1771</v>
      </c>
      <c r="E140" s="8">
        <v>1</v>
      </c>
    </row>
    <row r="141" spans="1:5" ht="24.75" x14ac:dyDescent="0.25">
      <c r="A141" s="8" t="s">
        <v>338</v>
      </c>
      <c r="B141" s="8" t="s">
        <v>224</v>
      </c>
      <c r="C141" s="8" t="s">
        <v>205</v>
      </c>
      <c r="D141" s="8" t="s">
        <v>1772</v>
      </c>
      <c r="E141" s="8">
        <v>1</v>
      </c>
    </row>
    <row r="142" spans="1:5" ht="24.75" x14ac:dyDescent="0.25">
      <c r="A142" s="8" t="s">
        <v>338</v>
      </c>
      <c r="B142" s="8" t="s">
        <v>224</v>
      </c>
      <c r="C142" s="8" t="s">
        <v>205</v>
      </c>
      <c r="D142" s="8" t="s">
        <v>1773</v>
      </c>
      <c r="E142" s="8">
        <v>1</v>
      </c>
    </row>
    <row r="143" spans="1:5" ht="24.75" x14ac:dyDescent="0.25">
      <c r="A143" s="8" t="s">
        <v>338</v>
      </c>
      <c r="B143" s="8" t="s">
        <v>224</v>
      </c>
      <c r="C143" s="8" t="s">
        <v>205</v>
      </c>
      <c r="D143" s="8" t="s">
        <v>1774</v>
      </c>
      <c r="E143" s="8">
        <v>1</v>
      </c>
    </row>
    <row r="144" spans="1:5" x14ac:dyDescent="0.25">
      <c r="A144" s="1" t="s">
        <v>198</v>
      </c>
      <c r="B144" s="1" t="s">
        <v>198</v>
      </c>
      <c r="C144" s="1">
        <f>SUBTOTAL(103,Elements13_2_341[Elemento])</f>
        <v>137</v>
      </c>
      <c r="D144" s="1" t="s">
        <v>198</v>
      </c>
      <c r="E144" s="1">
        <f>SUBTOTAL(109,Elements13_2_341[Totais:])</f>
        <v>137</v>
      </c>
    </row>
  </sheetData>
  <mergeCells count="3">
    <mergeCell ref="A1:E2"/>
    <mergeCell ref="A4:E4"/>
    <mergeCell ref="A5:E5"/>
  </mergeCells>
  <hyperlinks>
    <hyperlink ref="A1" location="'13.2.34'!A1" display="CURVA 90º SOLDAVEL,COM DIAMETRO DE 25MM.FORNECIMENTO" xr:uid="{00000000-0004-0000-5300-000000000000}"/>
    <hyperlink ref="B1" location="'13.2.34'!A1" display="CURVA 90º SOLDAVEL,COM DIAMETRO DE 25MM.FORNECIMENTO" xr:uid="{00000000-0004-0000-5300-000001000000}"/>
    <hyperlink ref="C1" location="'13.2.34'!A1" display="CURVA 90º SOLDAVEL,COM DIAMETRO DE 25MM.FORNECIMENTO" xr:uid="{00000000-0004-0000-5300-000002000000}"/>
    <hyperlink ref="D1" location="'13.2.34'!A1" display="CURVA 90º SOLDAVEL,COM DIAMETRO DE 25MM.FORNECIMENTO" xr:uid="{00000000-0004-0000-5300-000003000000}"/>
    <hyperlink ref="E1" location="'13.2.34'!A1" display="CURVA 90º SOLDAVEL,COM DIAMETRO DE 25MM.FORNECIMENTO" xr:uid="{00000000-0004-0000-5300-000004000000}"/>
    <hyperlink ref="A2" location="'13.2.34'!A1" display="CURVA 90º SOLDAVEL,COM DIAMETRO DE 25MM.FORNECIMENTO" xr:uid="{00000000-0004-0000-5300-000005000000}"/>
    <hyperlink ref="B2" location="'13.2.34'!A1" display="CURVA 90º SOLDAVEL,COM DIAMETRO DE 25MM.FORNECIMENTO" xr:uid="{00000000-0004-0000-5300-000006000000}"/>
    <hyperlink ref="C2" location="'13.2.34'!A1" display="CURVA 90º SOLDAVEL,COM DIAMETRO DE 25MM.FORNECIMENTO" xr:uid="{00000000-0004-0000-5300-000007000000}"/>
    <hyperlink ref="D2" location="'13.2.34'!A1" display="CURVA 90º SOLDAVEL,COM DIAMETRO DE 25MM.FORNECIMENTO" xr:uid="{00000000-0004-0000-5300-000008000000}"/>
    <hyperlink ref="E2" location="'13.2.34'!A1" display="CURVA 90º SOLDAVEL,COM DIAMETRO DE 25MM.FORNECIMENTO" xr:uid="{00000000-0004-0000-5300-000009000000}"/>
    <hyperlink ref="A4" location="'13.2.34'!A1" display="Conexões de tubo" xr:uid="{00000000-0004-0000-5300-00000A000000}"/>
    <hyperlink ref="B4" location="'13.2.34'!A1" display="Conexões de tubo" xr:uid="{00000000-0004-0000-5300-00000B000000}"/>
    <hyperlink ref="C4" location="'13.2.34'!A1" display="Conexões de tubo" xr:uid="{00000000-0004-0000-5300-00000C000000}"/>
    <hyperlink ref="D4" location="'13.2.34'!A1" display="Conexões de tubo" xr:uid="{00000000-0004-0000-5300-00000D000000}"/>
    <hyperlink ref="E4" location="'13.2.34'!A1" display="Conexões de tubo" xr:uid="{00000000-0004-0000-53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dimension ref="A1:E55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144</v>
      </c>
      <c r="B1" s="20" t="s">
        <v>144</v>
      </c>
      <c r="C1" s="20" t="s">
        <v>144</v>
      </c>
      <c r="D1" s="20" t="s">
        <v>144</v>
      </c>
      <c r="E1" s="20" t="s">
        <v>144</v>
      </c>
    </row>
    <row r="2" spans="1:5" x14ac:dyDescent="0.25">
      <c r="A2" s="20" t="s">
        <v>144</v>
      </c>
      <c r="B2" s="20" t="s">
        <v>144</v>
      </c>
      <c r="C2" s="20" t="s">
        <v>144</v>
      </c>
      <c r="D2" s="20" t="s">
        <v>144</v>
      </c>
      <c r="E2" s="20" t="s">
        <v>144</v>
      </c>
    </row>
    <row r="4" spans="1:5" x14ac:dyDescent="0.25">
      <c r="A4" s="15" t="s">
        <v>258</v>
      </c>
      <c r="B4" s="15" t="s">
        <v>258</v>
      </c>
      <c r="C4" s="15" t="s">
        <v>258</v>
      </c>
      <c r="D4" s="15" t="s">
        <v>258</v>
      </c>
      <c r="E4" s="15" t="s">
        <v>258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1775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1776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1777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1778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1779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1780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1781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1782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1783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1784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1785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1786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1787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1788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1789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1790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1791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1792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205</v>
      </c>
      <c r="D25" s="8" t="s">
        <v>1793</v>
      </c>
      <c r="E25" s="8">
        <v>1</v>
      </c>
    </row>
    <row r="26" spans="1:5" ht="24.75" x14ac:dyDescent="0.25">
      <c r="A26" s="8" t="s">
        <v>338</v>
      </c>
      <c r="B26" s="8" t="s">
        <v>224</v>
      </c>
      <c r="C26" s="8" t="s">
        <v>205</v>
      </c>
      <c r="D26" s="8" t="s">
        <v>1794</v>
      </c>
      <c r="E26" s="8">
        <v>1</v>
      </c>
    </row>
    <row r="27" spans="1:5" ht="24.75" x14ac:dyDescent="0.25">
      <c r="A27" s="8" t="s">
        <v>338</v>
      </c>
      <c r="B27" s="8" t="s">
        <v>224</v>
      </c>
      <c r="C27" s="8" t="s">
        <v>205</v>
      </c>
      <c r="D27" s="8" t="s">
        <v>1795</v>
      </c>
      <c r="E27" s="8">
        <v>1</v>
      </c>
    </row>
    <row r="28" spans="1:5" ht="24.75" x14ac:dyDescent="0.25">
      <c r="A28" s="8" t="s">
        <v>338</v>
      </c>
      <c r="B28" s="8" t="s">
        <v>224</v>
      </c>
      <c r="C28" s="8" t="s">
        <v>205</v>
      </c>
      <c r="D28" s="8" t="s">
        <v>1796</v>
      </c>
      <c r="E28" s="8">
        <v>1</v>
      </c>
    </row>
    <row r="29" spans="1:5" ht="24.75" x14ac:dyDescent="0.25">
      <c r="A29" s="8" t="s">
        <v>338</v>
      </c>
      <c r="B29" s="8" t="s">
        <v>224</v>
      </c>
      <c r="C29" s="8" t="s">
        <v>205</v>
      </c>
      <c r="D29" s="8" t="s">
        <v>1797</v>
      </c>
      <c r="E29" s="8">
        <v>1</v>
      </c>
    </row>
    <row r="30" spans="1:5" ht="24.75" x14ac:dyDescent="0.25">
      <c r="A30" s="8" t="s">
        <v>338</v>
      </c>
      <c r="B30" s="8" t="s">
        <v>224</v>
      </c>
      <c r="C30" s="8" t="s">
        <v>205</v>
      </c>
      <c r="D30" s="8" t="s">
        <v>1798</v>
      </c>
      <c r="E30" s="8">
        <v>1</v>
      </c>
    </row>
    <row r="31" spans="1:5" ht="24.75" x14ac:dyDescent="0.25">
      <c r="A31" s="8" t="s">
        <v>338</v>
      </c>
      <c r="B31" s="8" t="s">
        <v>224</v>
      </c>
      <c r="C31" s="8" t="s">
        <v>205</v>
      </c>
      <c r="D31" s="8" t="s">
        <v>1799</v>
      </c>
      <c r="E31" s="8">
        <v>1</v>
      </c>
    </row>
    <row r="32" spans="1:5" ht="24.75" x14ac:dyDescent="0.25">
      <c r="A32" s="8" t="s">
        <v>338</v>
      </c>
      <c r="B32" s="8" t="s">
        <v>224</v>
      </c>
      <c r="C32" s="8" t="s">
        <v>205</v>
      </c>
      <c r="D32" s="8" t="s">
        <v>1800</v>
      </c>
      <c r="E32" s="8">
        <v>1</v>
      </c>
    </row>
    <row r="33" spans="1:5" ht="24.75" x14ac:dyDescent="0.25">
      <c r="A33" s="8" t="s">
        <v>338</v>
      </c>
      <c r="B33" s="8" t="s">
        <v>224</v>
      </c>
      <c r="C33" s="8" t="s">
        <v>205</v>
      </c>
      <c r="D33" s="8" t="s">
        <v>1801</v>
      </c>
      <c r="E33" s="8">
        <v>1</v>
      </c>
    </row>
    <row r="34" spans="1:5" ht="24.75" x14ac:dyDescent="0.25">
      <c r="A34" s="8" t="s">
        <v>338</v>
      </c>
      <c r="B34" s="8" t="s">
        <v>224</v>
      </c>
      <c r="C34" s="8" t="s">
        <v>205</v>
      </c>
      <c r="D34" s="8" t="s">
        <v>1802</v>
      </c>
      <c r="E34" s="8">
        <v>1</v>
      </c>
    </row>
    <row r="35" spans="1:5" ht="24.75" x14ac:dyDescent="0.25">
      <c r="A35" s="8" t="s">
        <v>338</v>
      </c>
      <c r="B35" s="8" t="s">
        <v>224</v>
      </c>
      <c r="C35" s="8" t="s">
        <v>205</v>
      </c>
      <c r="D35" s="8" t="s">
        <v>1803</v>
      </c>
      <c r="E35" s="8">
        <v>1</v>
      </c>
    </row>
    <row r="36" spans="1:5" ht="24.75" x14ac:dyDescent="0.25">
      <c r="A36" s="8" t="s">
        <v>338</v>
      </c>
      <c r="B36" s="8" t="s">
        <v>224</v>
      </c>
      <c r="C36" s="8" t="s">
        <v>205</v>
      </c>
      <c r="D36" s="8" t="s">
        <v>1804</v>
      </c>
      <c r="E36" s="8">
        <v>1</v>
      </c>
    </row>
    <row r="37" spans="1:5" ht="24.75" x14ac:dyDescent="0.25">
      <c r="A37" s="8" t="s">
        <v>338</v>
      </c>
      <c r="B37" s="8" t="s">
        <v>224</v>
      </c>
      <c r="C37" s="8" t="s">
        <v>205</v>
      </c>
      <c r="D37" s="8" t="s">
        <v>1805</v>
      </c>
      <c r="E37" s="8">
        <v>1</v>
      </c>
    </row>
    <row r="38" spans="1:5" ht="24.75" x14ac:dyDescent="0.25">
      <c r="A38" s="8" t="s">
        <v>338</v>
      </c>
      <c r="B38" s="8" t="s">
        <v>224</v>
      </c>
      <c r="C38" s="8" t="s">
        <v>205</v>
      </c>
      <c r="D38" s="8" t="s">
        <v>1806</v>
      </c>
      <c r="E38" s="8">
        <v>1</v>
      </c>
    </row>
    <row r="39" spans="1:5" ht="24.75" x14ac:dyDescent="0.25">
      <c r="A39" s="8" t="s">
        <v>338</v>
      </c>
      <c r="B39" s="8" t="s">
        <v>224</v>
      </c>
      <c r="C39" s="8" t="s">
        <v>205</v>
      </c>
      <c r="D39" s="8" t="s">
        <v>1807</v>
      </c>
      <c r="E39" s="8">
        <v>1</v>
      </c>
    </row>
    <row r="40" spans="1:5" ht="24.75" x14ac:dyDescent="0.25">
      <c r="A40" s="8" t="s">
        <v>338</v>
      </c>
      <c r="B40" s="8" t="s">
        <v>224</v>
      </c>
      <c r="C40" s="8" t="s">
        <v>205</v>
      </c>
      <c r="D40" s="8" t="s">
        <v>1808</v>
      </c>
      <c r="E40" s="8">
        <v>1</v>
      </c>
    </row>
    <row r="41" spans="1:5" ht="24.75" x14ac:dyDescent="0.25">
      <c r="A41" s="8" t="s">
        <v>338</v>
      </c>
      <c r="B41" s="8" t="s">
        <v>224</v>
      </c>
      <c r="C41" s="8" t="s">
        <v>205</v>
      </c>
      <c r="D41" s="8" t="s">
        <v>1809</v>
      </c>
      <c r="E41" s="8">
        <v>1</v>
      </c>
    </row>
    <row r="42" spans="1:5" ht="24.75" x14ac:dyDescent="0.25">
      <c r="A42" s="8" t="s">
        <v>338</v>
      </c>
      <c r="B42" s="8" t="s">
        <v>224</v>
      </c>
      <c r="C42" s="8" t="s">
        <v>205</v>
      </c>
      <c r="D42" s="8" t="s">
        <v>1810</v>
      </c>
      <c r="E42" s="8">
        <v>1</v>
      </c>
    </row>
    <row r="43" spans="1:5" ht="24.75" x14ac:dyDescent="0.25">
      <c r="A43" s="8" t="s">
        <v>338</v>
      </c>
      <c r="B43" s="8" t="s">
        <v>224</v>
      </c>
      <c r="C43" s="8" t="s">
        <v>205</v>
      </c>
      <c r="D43" s="8" t="s">
        <v>1811</v>
      </c>
      <c r="E43" s="8">
        <v>1</v>
      </c>
    </row>
    <row r="44" spans="1:5" ht="24.75" x14ac:dyDescent="0.25">
      <c r="A44" s="8" t="s">
        <v>338</v>
      </c>
      <c r="B44" s="8" t="s">
        <v>224</v>
      </c>
      <c r="C44" s="8" t="s">
        <v>205</v>
      </c>
      <c r="D44" s="8" t="s">
        <v>1812</v>
      </c>
      <c r="E44" s="8">
        <v>1</v>
      </c>
    </row>
    <row r="45" spans="1:5" ht="24.75" x14ac:dyDescent="0.25">
      <c r="A45" s="8" t="s">
        <v>338</v>
      </c>
      <c r="B45" s="8" t="s">
        <v>224</v>
      </c>
      <c r="C45" s="8" t="s">
        <v>205</v>
      </c>
      <c r="D45" s="8" t="s">
        <v>1813</v>
      </c>
      <c r="E45" s="8">
        <v>1</v>
      </c>
    </row>
    <row r="46" spans="1:5" ht="24.75" x14ac:dyDescent="0.25">
      <c r="A46" s="8" t="s">
        <v>338</v>
      </c>
      <c r="B46" s="8" t="s">
        <v>224</v>
      </c>
      <c r="C46" s="8" t="s">
        <v>205</v>
      </c>
      <c r="D46" s="8" t="s">
        <v>1814</v>
      </c>
      <c r="E46" s="8">
        <v>1</v>
      </c>
    </row>
    <row r="47" spans="1:5" ht="24.75" x14ac:dyDescent="0.25">
      <c r="A47" s="8" t="s">
        <v>338</v>
      </c>
      <c r="B47" s="8" t="s">
        <v>224</v>
      </c>
      <c r="C47" s="8" t="s">
        <v>205</v>
      </c>
      <c r="D47" s="8" t="s">
        <v>1815</v>
      </c>
      <c r="E47" s="8">
        <v>1</v>
      </c>
    </row>
    <row r="48" spans="1:5" ht="24.75" x14ac:dyDescent="0.25">
      <c r="A48" s="8" t="s">
        <v>338</v>
      </c>
      <c r="B48" s="8" t="s">
        <v>224</v>
      </c>
      <c r="C48" s="8" t="s">
        <v>205</v>
      </c>
      <c r="D48" s="8" t="s">
        <v>1816</v>
      </c>
      <c r="E48" s="8">
        <v>1</v>
      </c>
    </row>
    <row r="49" spans="1:5" ht="24.75" x14ac:dyDescent="0.25">
      <c r="A49" s="8" t="s">
        <v>338</v>
      </c>
      <c r="B49" s="8" t="s">
        <v>224</v>
      </c>
      <c r="C49" s="8" t="s">
        <v>205</v>
      </c>
      <c r="D49" s="8" t="s">
        <v>1817</v>
      </c>
      <c r="E49" s="8">
        <v>1</v>
      </c>
    </row>
    <row r="50" spans="1:5" ht="24.75" x14ac:dyDescent="0.25">
      <c r="A50" s="8" t="s">
        <v>338</v>
      </c>
      <c r="B50" s="8" t="s">
        <v>224</v>
      </c>
      <c r="C50" s="8" t="s">
        <v>205</v>
      </c>
      <c r="D50" s="8" t="s">
        <v>1818</v>
      </c>
      <c r="E50" s="8">
        <v>1</v>
      </c>
    </row>
    <row r="51" spans="1:5" ht="24.75" x14ac:dyDescent="0.25">
      <c r="A51" s="8" t="s">
        <v>338</v>
      </c>
      <c r="B51" s="8" t="s">
        <v>224</v>
      </c>
      <c r="C51" s="8" t="s">
        <v>205</v>
      </c>
      <c r="D51" s="8" t="s">
        <v>1819</v>
      </c>
      <c r="E51" s="8">
        <v>1</v>
      </c>
    </row>
    <row r="52" spans="1:5" ht="24.75" x14ac:dyDescent="0.25">
      <c r="A52" s="8" t="s">
        <v>338</v>
      </c>
      <c r="B52" s="8" t="s">
        <v>224</v>
      </c>
      <c r="C52" s="8" t="s">
        <v>205</v>
      </c>
      <c r="D52" s="8" t="s">
        <v>1820</v>
      </c>
      <c r="E52" s="8">
        <v>1</v>
      </c>
    </row>
    <row r="53" spans="1:5" ht="24.75" x14ac:dyDescent="0.25">
      <c r="A53" s="8" t="s">
        <v>338</v>
      </c>
      <c r="B53" s="8" t="s">
        <v>224</v>
      </c>
      <c r="C53" s="8" t="s">
        <v>205</v>
      </c>
      <c r="D53" s="8" t="s">
        <v>1821</v>
      </c>
      <c r="E53" s="8">
        <v>1</v>
      </c>
    </row>
    <row r="54" spans="1:5" ht="24.75" x14ac:dyDescent="0.25">
      <c r="A54" s="8" t="s">
        <v>338</v>
      </c>
      <c r="B54" s="8" t="s">
        <v>224</v>
      </c>
      <c r="C54" s="8" t="s">
        <v>205</v>
      </c>
      <c r="D54" s="8" t="s">
        <v>1822</v>
      </c>
      <c r="E54" s="8">
        <v>1</v>
      </c>
    </row>
    <row r="55" spans="1:5" x14ac:dyDescent="0.25">
      <c r="A55" s="1" t="s">
        <v>198</v>
      </c>
      <c r="B55" s="1" t="s">
        <v>198</v>
      </c>
      <c r="C55" s="1">
        <f>SUBTOTAL(103,Elements13_2_351[Elemento])</f>
        <v>48</v>
      </c>
      <c r="D55" s="1" t="s">
        <v>198</v>
      </c>
      <c r="E55" s="1">
        <f>SUBTOTAL(109,Elements13_2_351[Totais:])</f>
        <v>48</v>
      </c>
    </row>
  </sheetData>
  <mergeCells count="3">
    <mergeCell ref="A1:E2"/>
    <mergeCell ref="A4:E4"/>
    <mergeCell ref="A5:E5"/>
  </mergeCells>
  <hyperlinks>
    <hyperlink ref="A1" location="'13.2.35'!A1" display="CURVA 90º SOLDAVEL,COM DIAMETRO DE 50MM.FORNECIMENTO" xr:uid="{00000000-0004-0000-5400-000000000000}"/>
    <hyperlink ref="B1" location="'13.2.35'!A1" display="CURVA 90º SOLDAVEL,COM DIAMETRO DE 50MM.FORNECIMENTO" xr:uid="{00000000-0004-0000-5400-000001000000}"/>
    <hyperlink ref="C1" location="'13.2.35'!A1" display="CURVA 90º SOLDAVEL,COM DIAMETRO DE 50MM.FORNECIMENTO" xr:uid="{00000000-0004-0000-5400-000002000000}"/>
    <hyperlink ref="D1" location="'13.2.35'!A1" display="CURVA 90º SOLDAVEL,COM DIAMETRO DE 50MM.FORNECIMENTO" xr:uid="{00000000-0004-0000-5400-000003000000}"/>
    <hyperlink ref="E1" location="'13.2.35'!A1" display="CURVA 90º SOLDAVEL,COM DIAMETRO DE 50MM.FORNECIMENTO" xr:uid="{00000000-0004-0000-5400-000004000000}"/>
    <hyperlink ref="A2" location="'13.2.35'!A1" display="CURVA 90º SOLDAVEL,COM DIAMETRO DE 50MM.FORNECIMENTO" xr:uid="{00000000-0004-0000-5400-000005000000}"/>
    <hyperlink ref="B2" location="'13.2.35'!A1" display="CURVA 90º SOLDAVEL,COM DIAMETRO DE 50MM.FORNECIMENTO" xr:uid="{00000000-0004-0000-5400-000006000000}"/>
    <hyperlink ref="C2" location="'13.2.35'!A1" display="CURVA 90º SOLDAVEL,COM DIAMETRO DE 50MM.FORNECIMENTO" xr:uid="{00000000-0004-0000-5400-000007000000}"/>
    <hyperlink ref="D2" location="'13.2.35'!A1" display="CURVA 90º SOLDAVEL,COM DIAMETRO DE 50MM.FORNECIMENTO" xr:uid="{00000000-0004-0000-5400-000008000000}"/>
    <hyperlink ref="E2" location="'13.2.35'!A1" display="CURVA 90º SOLDAVEL,COM DIAMETRO DE 50MM.FORNECIMENTO" xr:uid="{00000000-0004-0000-5400-000009000000}"/>
    <hyperlink ref="A4" location="'13.2.35'!A1" display="Conexões de tubo" xr:uid="{00000000-0004-0000-5400-00000A000000}"/>
    <hyperlink ref="B4" location="'13.2.35'!A1" display="Conexões de tubo" xr:uid="{00000000-0004-0000-5400-00000B000000}"/>
    <hyperlink ref="C4" location="'13.2.35'!A1" display="Conexões de tubo" xr:uid="{00000000-0004-0000-5400-00000C000000}"/>
    <hyperlink ref="D4" location="'13.2.35'!A1" display="Conexões de tubo" xr:uid="{00000000-0004-0000-5400-00000D000000}"/>
    <hyperlink ref="E4" location="'13.2.35'!A1" display="Conexões de tubo" xr:uid="{00000000-0004-0000-54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dimension ref="A1:E3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148</v>
      </c>
      <c r="B1" s="20" t="s">
        <v>148</v>
      </c>
      <c r="C1" s="20" t="s">
        <v>148</v>
      </c>
      <c r="D1" s="20" t="s">
        <v>148</v>
      </c>
      <c r="E1" s="20" t="s">
        <v>148</v>
      </c>
    </row>
    <row r="2" spans="1:5" x14ac:dyDescent="0.25">
      <c r="A2" s="20" t="s">
        <v>148</v>
      </c>
      <c r="B2" s="20" t="s">
        <v>148</v>
      </c>
      <c r="C2" s="20" t="s">
        <v>148</v>
      </c>
      <c r="D2" s="20" t="s">
        <v>148</v>
      </c>
      <c r="E2" s="20" t="s">
        <v>148</v>
      </c>
    </row>
    <row r="4" spans="1:5" x14ac:dyDescent="0.25">
      <c r="A4" s="15" t="s">
        <v>258</v>
      </c>
      <c r="B4" s="15" t="s">
        <v>258</v>
      </c>
      <c r="C4" s="15" t="s">
        <v>258</v>
      </c>
      <c r="D4" s="15" t="s">
        <v>258</v>
      </c>
      <c r="E4" s="15" t="s">
        <v>258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1823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1824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1825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1826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1827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1828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1829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1830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1831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1832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1833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1834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1835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1836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1837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1838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1839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1840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205</v>
      </c>
      <c r="D25" s="8" t="s">
        <v>1841</v>
      </c>
      <c r="E25" s="8">
        <v>1</v>
      </c>
    </row>
    <row r="26" spans="1:5" ht="24.75" x14ac:dyDescent="0.25">
      <c r="A26" s="8" t="s">
        <v>338</v>
      </c>
      <c r="B26" s="8" t="s">
        <v>224</v>
      </c>
      <c r="C26" s="8" t="s">
        <v>205</v>
      </c>
      <c r="D26" s="8" t="s">
        <v>1842</v>
      </c>
      <c r="E26" s="8">
        <v>1</v>
      </c>
    </row>
    <row r="27" spans="1:5" ht="24.75" x14ac:dyDescent="0.25">
      <c r="A27" s="8" t="s">
        <v>338</v>
      </c>
      <c r="B27" s="8" t="s">
        <v>224</v>
      </c>
      <c r="C27" s="8" t="s">
        <v>205</v>
      </c>
      <c r="D27" s="8" t="s">
        <v>1843</v>
      </c>
      <c r="E27" s="8">
        <v>1</v>
      </c>
    </row>
    <row r="28" spans="1:5" ht="24.75" x14ac:dyDescent="0.25">
      <c r="A28" s="8" t="s">
        <v>338</v>
      </c>
      <c r="B28" s="8" t="s">
        <v>224</v>
      </c>
      <c r="C28" s="8" t="s">
        <v>205</v>
      </c>
      <c r="D28" s="8" t="s">
        <v>1844</v>
      </c>
      <c r="E28" s="8">
        <v>1</v>
      </c>
    </row>
    <row r="29" spans="1:5" ht="24.75" x14ac:dyDescent="0.25">
      <c r="A29" s="8" t="s">
        <v>338</v>
      </c>
      <c r="B29" s="8" t="s">
        <v>224</v>
      </c>
      <c r="C29" s="8" t="s">
        <v>205</v>
      </c>
      <c r="D29" s="8" t="s">
        <v>1845</v>
      </c>
      <c r="E29" s="8">
        <v>1</v>
      </c>
    </row>
    <row r="30" spans="1:5" ht="24.75" x14ac:dyDescent="0.25">
      <c r="A30" s="8" t="s">
        <v>338</v>
      </c>
      <c r="B30" s="8" t="s">
        <v>224</v>
      </c>
      <c r="C30" s="8" t="s">
        <v>205</v>
      </c>
      <c r="D30" s="8" t="s">
        <v>1846</v>
      </c>
      <c r="E30" s="8">
        <v>1</v>
      </c>
    </row>
    <row r="31" spans="1:5" x14ac:dyDescent="0.25">
      <c r="A31" s="1" t="s">
        <v>198</v>
      </c>
      <c r="B31" s="1" t="s">
        <v>198</v>
      </c>
      <c r="C31" s="1">
        <f>SUBTOTAL(103,Elements13_2_361[Elemento])</f>
        <v>24</v>
      </c>
      <c r="D31" s="1" t="s">
        <v>198</v>
      </c>
      <c r="E31" s="1">
        <f>SUBTOTAL(109,Elements13_2_361[Totais:])</f>
        <v>24</v>
      </c>
    </row>
  </sheetData>
  <mergeCells count="3">
    <mergeCell ref="A1:E2"/>
    <mergeCell ref="A4:E4"/>
    <mergeCell ref="A5:E5"/>
  </mergeCells>
  <hyperlinks>
    <hyperlink ref="A1" location="'13.2.36'!A1" display="JOELHO 45º SOLDAVEL,COM DIAMETRO DE 25MM.FORNECIMENTO" xr:uid="{00000000-0004-0000-5500-000000000000}"/>
    <hyperlink ref="B1" location="'13.2.36'!A1" display="JOELHO 45º SOLDAVEL,COM DIAMETRO DE 25MM.FORNECIMENTO" xr:uid="{00000000-0004-0000-5500-000001000000}"/>
    <hyperlink ref="C1" location="'13.2.36'!A1" display="JOELHO 45º SOLDAVEL,COM DIAMETRO DE 25MM.FORNECIMENTO" xr:uid="{00000000-0004-0000-5500-000002000000}"/>
    <hyperlink ref="D1" location="'13.2.36'!A1" display="JOELHO 45º SOLDAVEL,COM DIAMETRO DE 25MM.FORNECIMENTO" xr:uid="{00000000-0004-0000-5500-000003000000}"/>
    <hyperlink ref="E1" location="'13.2.36'!A1" display="JOELHO 45º SOLDAVEL,COM DIAMETRO DE 25MM.FORNECIMENTO" xr:uid="{00000000-0004-0000-5500-000004000000}"/>
    <hyperlink ref="A2" location="'13.2.36'!A1" display="JOELHO 45º SOLDAVEL,COM DIAMETRO DE 25MM.FORNECIMENTO" xr:uid="{00000000-0004-0000-5500-000005000000}"/>
    <hyperlink ref="B2" location="'13.2.36'!A1" display="JOELHO 45º SOLDAVEL,COM DIAMETRO DE 25MM.FORNECIMENTO" xr:uid="{00000000-0004-0000-5500-000006000000}"/>
    <hyperlink ref="C2" location="'13.2.36'!A1" display="JOELHO 45º SOLDAVEL,COM DIAMETRO DE 25MM.FORNECIMENTO" xr:uid="{00000000-0004-0000-5500-000007000000}"/>
    <hyperlink ref="D2" location="'13.2.36'!A1" display="JOELHO 45º SOLDAVEL,COM DIAMETRO DE 25MM.FORNECIMENTO" xr:uid="{00000000-0004-0000-5500-000008000000}"/>
    <hyperlink ref="E2" location="'13.2.36'!A1" display="JOELHO 45º SOLDAVEL,COM DIAMETRO DE 25MM.FORNECIMENTO" xr:uid="{00000000-0004-0000-5500-000009000000}"/>
    <hyperlink ref="A4" location="'13.2.36'!A1" display="Conexões de tubo" xr:uid="{00000000-0004-0000-5500-00000A000000}"/>
    <hyperlink ref="B4" location="'13.2.36'!A1" display="Conexões de tubo" xr:uid="{00000000-0004-0000-5500-00000B000000}"/>
    <hyperlink ref="C4" location="'13.2.36'!A1" display="Conexões de tubo" xr:uid="{00000000-0004-0000-5500-00000C000000}"/>
    <hyperlink ref="D4" location="'13.2.36'!A1" display="Conexões de tubo" xr:uid="{00000000-0004-0000-5500-00000D000000}"/>
    <hyperlink ref="E4" location="'13.2.36'!A1" display="Conexões de tubo" xr:uid="{00000000-0004-0000-55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dimension ref="A1:E18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151</v>
      </c>
      <c r="B1" s="20" t="s">
        <v>151</v>
      </c>
      <c r="C1" s="20" t="s">
        <v>151</v>
      </c>
      <c r="D1" s="20" t="s">
        <v>151</v>
      </c>
      <c r="E1" s="20" t="s">
        <v>151</v>
      </c>
    </row>
    <row r="2" spans="1:5" x14ac:dyDescent="0.25">
      <c r="A2" s="20" t="s">
        <v>151</v>
      </c>
      <c r="B2" s="20" t="s">
        <v>151</v>
      </c>
      <c r="C2" s="20" t="s">
        <v>151</v>
      </c>
      <c r="D2" s="20" t="s">
        <v>151</v>
      </c>
      <c r="E2" s="20" t="s">
        <v>151</v>
      </c>
    </row>
    <row r="4" spans="1:5" x14ac:dyDescent="0.25">
      <c r="A4" s="15" t="s">
        <v>258</v>
      </c>
      <c r="B4" s="15" t="s">
        <v>258</v>
      </c>
      <c r="C4" s="15" t="s">
        <v>258</v>
      </c>
      <c r="D4" s="15" t="s">
        <v>258</v>
      </c>
      <c r="E4" s="15" t="s">
        <v>258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1847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1848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1849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1850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1851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1852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1853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1854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1855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1856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1857</v>
      </c>
      <c r="E17" s="8">
        <v>1</v>
      </c>
    </row>
    <row r="18" spans="1:5" x14ac:dyDescent="0.25">
      <c r="A18" s="1" t="s">
        <v>198</v>
      </c>
      <c r="B18" s="1" t="s">
        <v>198</v>
      </c>
      <c r="C18" s="1">
        <f>SUBTOTAL(103,Elements13_2_371[Elemento])</f>
        <v>11</v>
      </c>
      <c r="D18" s="1" t="s">
        <v>198</v>
      </c>
      <c r="E18" s="1">
        <f>SUBTOTAL(109,Elements13_2_371[Totais:])</f>
        <v>11</v>
      </c>
    </row>
  </sheetData>
  <mergeCells count="3">
    <mergeCell ref="A1:E2"/>
    <mergeCell ref="A4:E4"/>
    <mergeCell ref="A5:E5"/>
  </mergeCells>
  <hyperlinks>
    <hyperlink ref="A1" location="'13.2.37'!A1" display="JOELHO 90º SOLDAVEL,COM DIAMETRO DE 25MM.FORNECIMENTO" xr:uid="{00000000-0004-0000-5600-000000000000}"/>
    <hyperlink ref="B1" location="'13.2.37'!A1" display="JOELHO 90º SOLDAVEL,COM DIAMETRO DE 25MM.FORNECIMENTO" xr:uid="{00000000-0004-0000-5600-000001000000}"/>
    <hyperlink ref="C1" location="'13.2.37'!A1" display="JOELHO 90º SOLDAVEL,COM DIAMETRO DE 25MM.FORNECIMENTO" xr:uid="{00000000-0004-0000-5600-000002000000}"/>
    <hyperlink ref="D1" location="'13.2.37'!A1" display="JOELHO 90º SOLDAVEL,COM DIAMETRO DE 25MM.FORNECIMENTO" xr:uid="{00000000-0004-0000-5600-000003000000}"/>
    <hyperlink ref="E1" location="'13.2.37'!A1" display="JOELHO 90º SOLDAVEL,COM DIAMETRO DE 25MM.FORNECIMENTO" xr:uid="{00000000-0004-0000-5600-000004000000}"/>
    <hyperlink ref="A2" location="'13.2.37'!A1" display="JOELHO 90º SOLDAVEL,COM DIAMETRO DE 25MM.FORNECIMENTO" xr:uid="{00000000-0004-0000-5600-000005000000}"/>
    <hyperlink ref="B2" location="'13.2.37'!A1" display="JOELHO 90º SOLDAVEL,COM DIAMETRO DE 25MM.FORNECIMENTO" xr:uid="{00000000-0004-0000-5600-000006000000}"/>
    <hyperlink ref="C2" location="'13.2.37'!A1" display="JOELHO 90º SOLDAVEL,COM DIAMETRO DE 25MM.FORNECIMENTO" xr:uid="{00000000-0004-0000-5600-000007000000}"/>
    <hyperlink ref="D2" location="'13.2.37'!A1" display="JOELHO 90º SOLDAVEL,COM DIAMETRO DE 25MM.FORNECIMENTO" xr:uid="{00000000-0004-0000-5600-000008000000}"/>
    <hyperlink ref="E2" location="'13.2.37'!A1" display="JOELHO 90º SOLDAVEL,COM DIAMETRO DE 25MM.FORNECIMENTO" xr:uid="{00000000-0004-0000-5600-000009000000}"/>
    <hyperlink ref="A4" location="'13.2.37'!A1" display="Conexões de tubo" xr:uid="{00000000-0004-0000-5600-00000A000000}"/>
    <hyperlink ref="B4" location="'13.2.37'!A1" display="Conexões de tubo" xr:uid="{00000000-0004-0000-5600-00000B000000}"/>
    <hyperlink ref="C4" location="'13.2.37'!A1" display="Conexões de tubo" xr:uid="{00000000-0004-0000-5600-00000C000000}"/>
    <hyperlink ref="D4" location="'13.2.37'!A1" display="Conexões de tubo" xr:uid="{00000000-0004-0000-5600-00000D000000}"/>
    <hyperlink ref="E4" location="'13.2.37'!A1" display="Conexões de tubo" xr:uid="{00000000-0004-0000-56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dimension ref="A1:E24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155</v>
      </c>
      <c r="B1" s="20" t="s">
        <v>155</v>
      </c>
      <c r="C1" s="20" t="s">
        <v>155</v>
      </c>
      <c r="D1" s="20" t="s">
        <v>155</v>
      </c>
      <c r="E1" s="20" t="s">
        <v>155</v>
      </c>
    </row>
    <row r="2" spans="1:5" x14ac:dyDescent="0.25">
      <c r="A2" s="20" t="s">
        <v>155</v>
      </c>
      <c r="B2" s="20" t="s">
        <v>155</v>
      </c>
      <c r="C2" s="20" t="s">
        <v>155</v>
      </c>
      <c r="D2" s="20" t="s">
        <v>155</v>
      </c>
      <c r="E2" s="20" t="s">
        <v>155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315</v>
      </c>
      <c r="D7" s="8" t="s">
        <v>1858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315</v>
      </c>
      <c r="D8" s="8" t="s">
        <v>1859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315</v>
      </c>
      <c r="D9" s="8" t="s">
        <v>1860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315</v>
      </c>
      <c r="D10" s="8" t="s">
        <v>1861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315</v>
      </c>
      <c r="D11" s="8" t="s">
        <v>1862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315</v>
      </c>
      <c r="D12" s="8" t="s">
        <v>1863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315</v>
      </c>
      <c r="D13" s="8" t="s">
        <v>1864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315</v>
      </c>
      <c r="D14" s="8" t="s">
        <v>1865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315</v>
      </c>
      <c r="D15" s="8" t="s">
        <v>1866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315</v>
      </c>
      <c r="D16" s="8" t="s">
        <v>1867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315</v>
      </c>
      <c r="D17" s="8" t="s">
        <v>1868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315</v>
      </c>
      <c r="D18" s="8" t="s">
        <v>1869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315</v>
      </c>
      <c r="D19" s="8" t="s">
        <v>1870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315</v>
      </c>
      <c r="D20" s="8" t="s">
        <v>1871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315</v>
      </c>
      <c r="D21" s="8" t="s">
        <v>1872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315</v>
      </c>
      <c r="D22" s="8" t="s">
        <v>1873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315</v>
      </c>
      <c r="D23" s="8" t="s">
        <v>1874</v>
      </c>
      <c r="E23" s="8">
        <v>1</v>
      </c>
    </row>
    <row r="24" spans="1:5" x14ac:dyDescent="0.25">
      <c r="A24" s="1" t="s">
        <v>198</v>
      </c>
      <c r="B24" s="1" t="s">
        <v>198</v>
      </c>
      <c r="C24" s="1">
        <f>SUBTOTAL(103,Elements13_2_381[Elemento])</f>
        <v>17</v>
      </c>
      <c r="D24" s="1" t="s">
        <v>198</v>
      </c>
      <c r="E24" s="1">
        <f>SUBTOTAL(109,Elements13_2_381[Totais:])</f>
        <v>17</v>
      </c>
    </row>
  </sheetData>
  <mergeCells count="3">
    <mergeCell ref="A1:E2"/>
    <mergeCell ref="A4:E4"/>
    <mergeCell ref="A5:E5"/>
  </mergeCells>
  <hyperlinks>
    <hyperlink ref="A1" location="'13.2.38'!A1" display="VALVULA DE RETENCAO HORIZONTAL 3/4””" xr:uid="{00000000-0004-0000-5700-000000000000}"/>
    <hyperlink ref="B1" location="'13.2.38'!A1" display="VALVULA DE RETENCAO HORIZONTAL 3/4””" xr:uid="{00000000-0004-0000-5700-000001000000}"/>
    <hyperlink ref="C1" location="'13.2.38'!A1" display="VALVULA DE RETENCAO HORIZONTAL 3/4””" xr:uid="{00000000-0004-0000-5700-000002000000}"/>
    <hyperlink ref="D1" location="'13.2.38'!A1" display="VALVULA DE RETENCAO HORIZONTAL 3/4””" xr:uid="{00000000-0004-0000-5700-000003000000}"/>
    <hyperlink ref="E1" location="'13.2.38'!A1" display="VALVULA DE RETENCAO HORIZONTAL 3/4””" xr:uid="{00000000-0004-0000-5700-000004000000}"/>
    <hyperlink ref="A2" location="'13.2.38'!A1" display="VALVULA DE RETENCAO HORIZONTAL 3/4””" xr:uid="{00000000-0004-0000-5700-000005000000}"/>
    <hyperlink ref="B2" location="'13.2.38'!A1" display="VALVULA DE RETENCAO HORIZONTAL 3/4””" xr:uid="{00000000-0004-0000-5700-000006000000}"/>
    <hyperlink ref="C2" location="'13.2.38'!A1" display="VALVULA DE RETENCAO HORIZONTAL 3/4””" xr:uid="{00000000-0004-0000-5700-000007000000}"/>
    <hyperlink ref="D2" location="'13.2.38'!A1" display="VALVULA DE RETENCAO HORIZONTAL 3/4””" xr:uid="{00000000-0004-0000-5700-000008000000}"/>
    <hyperlink ref="E2" location="'13.2.38'!A1" display="VALVULA DE RETENCAO HORIZONTAL 3/4””" xr:uid="{00000000-0004-0000-5700-000009000000}"/>
    <hyperlink ref="A4" location="'13.2.38'!A1" display="Acessórios do tubo (A)" xr:uid="{00000000-0004-0000-5700-00000A000000}"/>
    <hyperlink ref="B4" location="'13.2.38'!A1" display="Acessórios do tubo (A)" xr:uid="{00000000-0004-0000-5700-00000B000000}"/>
    <hyperlink ref="C4" location="'13.2.38'!A1" display="Acessórios do tubo (A)" xr:uid="{00000000-0004-0000-5700-00000C000000}"/>
    <hyperlink ref="D4" location="'13.2.38'!A1" display="Acessórios do tubo (A)" xr:uid="{00000000-0004-0000-5700-00000D000000}"/>
    <hyperlink ref="E4" location="'13.2.38'!A1" display="Acessórios do tubo (A)" xr:uid="{00000000-0004-0000-57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800-000000000000}">
  <dimension ref="A1:E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158</v>
      </c>
      <c r="B1" s="20" t="s">
        <v>158</v>
      </c>
      <c r="C1" s="20" t="s">
        <v>158</v>
      </c>
      <c r="D1" s="20" t="s">
        <v>158</v>
      </c>
      <c r="E1" s="20" t="s">
        <v>158</v>
      </c>
    </row>
    <row r="2" spans="1:5" x14ac:dyDescent="0.25">
      <c r="A2" s="20" t="s">
        <v>158</v>
      </c>
      <c r="B2" s="20" t="s">
        <v>158</v>
      </c>
      <c r="C2" s="20" t="s">
        <v>158</v>
      </c>
      <c r="D2" s="20" t="s">
        <v>158</v>
      </c>
      <c r="E2" s="20" t="s">
        <v>158</v>
      </c>
    </row>
    <row r="4" spans="1:5" x14ac:dyDescent="0.25">
      <c r="A4" s="15" t="s">
        <v>258</v>
      </c>
      <c r="B4" s="15" t="s">
        <v>258</v>
      </c>
      <c r="C4" s="15" t="s">
        <v>258</v>
      </c>
      <c r="D4" s="15" t="s">
        <v>258</v>
      </c>
      <c r="E4" s="15" t="s">
        <v>258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1875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1876</v>
      </c>
      <c r="E8" s="8">
        <v>1</v>
      </c>
    </row>
    <row r="9" spans="1:5" x14ac:dyDescent="0.25">
      <c r="A9" s="1" t="s">
        <v>198</v>
      </c>
      <c r="B9" s="1" t="s">
        <v>198</v>
      </c>
      <c r="C9" s="1">
        <f>SUBTOTAL(103,Elements13_2_391[Elemento])</f>
        <v>2</v>
      </c>
      <c r="D9" s="1" t="s">
        <v>198</v>
      </c>
      <c r="E9" s="1">
        <f>SUBTOTAL(109,Elements13_2_391[Totais:])</f>
        <v>2</v>
      </c>
    </row>
  </sheetData>
  <mergeCells count="3">
    <mergeCell ref="A1:E2"/>
    <mergeCell ref="A4:E4"/>
    <mergeCell ref="A5:E5"/>
  </mergeCells>
  <hyperlinks>
    <hyperlink ref="A1" location="'13.2.39'!A1" display="JOELHO 90º SOLDAVEL,COM DIAMETRO DE 50MM.FORNECIMENTO" xr:uid="{00000000-0004-0000-5800-000000000000}"/>
    <hyperlink ref="B1" location="'13.2.39'!A1" display="JOELHO 90º SOLDAVEL,COM DIAMETRO DE 50MM.FORNECIMENTO" xr:uid="{00000000-0004-0000-5800-000001000000}"/>
    <hyperlink ref="C1" location="'13.2.39'!A1" display="JOELHO 90º SOLDAVEL,COM DIAMETRO DE 50MM.FORNECIMENTO" xr:uid="{00000000-0004-0000-5800-000002000000}"/>
    <hyperlink ref="D1" location="'13.2.39'!A1" display="JOELHO 90º SOLDAVEL,COM DIAMETRO DE 50MM.FORNECIMENTO" xr:uid="{00000000-0004-0000-5800-000003000000}"/>
    <hyperlink ref="E1" location="'13.2.39'!A1" display="JOELHO 90º SOLDAVEL,COM DIAMETRO DE 50MM.FORNECIMENTO" xr:uid="{00000000-0004-0000-5800-000004000000}"/>
    <hyperlink ref="A2" location="'13.2.39'!A1" display="JOELHO 90º SOLDAVEL,COM DIAMETRO DE 50MM.FORNECIMENTO" xr:uid="{00000000-0004-0000-5800-000005000000}"/>
    <hyperlink ref="B2" location="'13.2.39'!A1" display="JOELHO 90º SOLDAVEL,COM DIAMETRO DE 50MM.FORNECIMENTO" xr:uid="{00000000-0004-0000-5800-000006000000}"/>
    <hyperlink ref="C2" location="'13.2.39'!A1" display="JOELHO 90º SOLDAVEL,COM DIAMETRO DE 50MM.FORNECIMENTO" xr:uid="{00000000-0004-0000-5800-000007000000}"/>
    <hyperlink ref="D2" location="'13.2.39'!A1" display="JOELHO 90º SOLDAVEL,COM DIAMETRO DE 50MM.FORNECIMENTO" xr:uid="{00000000-0004-0000-5800-000008000000}"/>
    <hyperlink ref="E2" location="'13.2.39'!A1" display="JOELHO 90º SOLDAVEL,COM DIAMETRO DE 50MM.FORNECIMENTO" xr:uid="{00000000-0004-0000-5800-000009000000}"/>
    <hyperlink ref="A4" location="'13.2.39'!A1" display="Conexões de tubo" xr:uid="{00000000-0004-0000-5800-00000A000000}"/>
    <hyperlink ref="B4" location="'13.2.39'!A1" display="Conexões de tubo" xr:uid="{00000000-0004-0000-5800-00000B000000}"/>
    <hyperlink ref="C4" location="'13.2.39'!A1" display="Conexões de tubo" xr:uid="{00000000-0004-0000-5800-00000C000000}"/>
    <hyperlink ref="D4" location="'13.2.39'!A1" display="Conexões de tubo" xr:uid="{00000000-0004-0000-5800-00000D000000}"/>
    <hyperlink ref="E4" location="'13.2.39'!A1" display="Conexões de tubo" xr:uid="{00000000-0004-0000-58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DFF0D8"/>
  </sheetPr>
  <dimension ref="A1:I24"/>
  <sheetViews>
    <sheetView showGridLines="0" workbookViewId="0"/>
  </sheetViews>
  <sheetFormatPr defaultRowHeight="15" x14ac:dyDescent="0.25"/>
  <cols>
    <col min="1" max="1" width="11" customWidth="1"/>
    <col min="2" max="2" width="13" customWidth="1"/>
    <col min="3" max="3" width="11" customWidth="1"/>
    <col min="4" max="4" width="120" customWidth="1"/>
    <col min="5" max="5" width="9" customWidth="1"/>
    <col min="6" max="6" width="12" customWidth="1"/>
    <col min="7" max="7" width="13" customWidth="1"/>
    <col min="8" max="8" width="18" customWidth="1"/>
    <col min="9" max="9" width="14" customWidth="1"/>
  </cols>
  <sheetData>
    <row r="1" spans="1:9" x14ac:dyDescent="0.25">
      <c r="A1" s="2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</row>
    <row r="2" spans="1:9" x14ac:dyDescent="0.25">
      <c r="A2" s="5" t="s">
        <v>40</v>
      </c>
      <c r="B2" s="5" t="s">
        <v>41</v>
      </c>
      <c r="C2" s="5" t="s">
        <v>14</v>
      </c>
      <c r="D2" s="5" t="s">
        <v>42</v>
      </c>
      <c r="E2" s="5" t="s">
        <v>16</v>
      </c>
      <c r="F2" s="5" t="s">
        <v>218</v>
      </c>
      <c r="G2" s="5">
        <v>165.41</v>
      </c>
      <c r="H2" s="5">
        <v>198.24388500000001</v>
      </c>
      <c r="I2" s="5">
        <v>198.24388500000001</v>
      </c>
    </row>
    <row r="5" spans="1:9" x14ac:dyDescent="0.25">
      <c r="A5" s="13" t="s">
        <v>192</v>
      </c>
      <c r="B5" s="13" t="s">
        <v>192</v>
      </c>
      <c r="C5" s="13" t="s">
        <v>192</v>
      </c>
      <c r="D5" s="13" t="s">
        <v>192</v>
      </c>
      <c r="E5" s="13" t="s">
        <v>192</v>
      </c>
    </row>
    <row r="6" spans="1:9" x14ac:dyDescent="0.25">
      <c r="A6" s="14"/>
      <c r="B6" s="14"/>
      <c r="C6" s="14"/>
      <c r="D6" s="14"/>
      <c r="E6" s="14"/>
    </row>
    <row r="7" spans="1:9" x14ac:dyDescent="0.25">
      <c r="A7" s="7" t="s">
        <v>1</v>
      </c>
      <c r="B7" s="7" t="s">
        <v>193</v>
      </c>
      <c r="C7" s="7" t="s">
        <v>194</v>
      </c>
      <c r="D7" s="7" t="s">
        <v>195</v>
      </c>
      <c r="E7" s="7" t="s">
        <v>9</v>
      </c>
    </row>
    <row r="8" spans="1:9" x14ac:dyDescent="0.25">
      <c r="A8" s="8">
        <v>1</v>
      </c>
      <c r="B8" s="8" t="s">
        <v>196</v>
      </c>
      <c r="C8" s="8">
        <v>1</v>
      </c>
      <c r="D8" s="8" t="s">
        <v>231</v>
      </c>
      <c r="E8" s="8">
        <v>1</v>
      </c>
    </row>
    <row r="9" spans="1:9" x14ac:dyDescent="0.25">
      <c r="A9" s="8" t="s">
        <v>198</v>
      </c>
      <c r="B9" s="8" t="s">
        <v>198</v>
      </c>
      <c r="C9" s="8">
        <f>SUBTOTAL(109,Criteria_Summary13.2.7[Elementos])</f>
        <v>1</v>
      </c>
      <c r="D9" s="8" t="s">
        <v>198</v>
      </c>
      <c r="E9" s="8">
        <f>SUBTOTAL(109,Criteria_Summary13.2.7[Total])</f>
        <v>1</v>
      </c>
    </row>
    <row r="10" spans="1:9" x14ac:dyDescent="0.25">
      <c r="A10" s="9" t="s">
        <v>199</v>
      </c>
      <c r="B10" s="9">
        <v>0</v>
      </c>
      <c r="C10" s="10"/>
      <c r="D10" s="10"/>
      <c r="E10" s="9">
        <v>1</v>
      </c>
    </row>
    <row r="13" spans="1:9" x14ac:dyDescent="0.25">
      <c r="A13" s="15" t="s">
        <v>231</v>
      </c>
      <c r="B13" s="15" t="s">
        <v>231</v>
      </c>
      <c r="C13" s="15" t="s">
        <v>231</v>
      </c>
      <c r="D13" s="15" t="s">
        <v>231</v>
      </c>
      <c r="E13" s="15" t="s">
        <v>231</v>
      </c>
    </row>
    <row r="14" spans="1:9" x14ac:dyDescent="0.25">
      <c r="A14" s="16"/>
      <c r="B14" s="16"/>
      <c r="C14" s="16"/>
      <c r="D14" s="16"/>
      <c r="E14" s="16"/>
    </row>
    <row r="15" spans="1:9" x14ac:dyDescent="0.25">
      <c r="A15" s="11" t="s">
        <v>193</v>
      </c>
      <c r="B15" s="11" t="s">
        <v>194</v>
      </c>
      <c r="C15" s="17" t="s">
        <v>200</v>
      </c>
      <c r="D15" s="17" t="s">
        <v>200</v>
      </c>
      <c r="E15" s="11" t="s">
        <v>9</v>
      </c>
    </row>
    <row r="16" spans="1:9" x14ac:dyDescent="0.25">
      <c r="A16" s="8" t="s">
        <v>196</v>
      </c>
      <c r="B16" s="8">
        <v>1</v>
      </c>
      <c r="C16" s="18" t="s">
        <v>232</v>
      </c>
      <c r="D16" s="18" t="s">
        <v>232</v>
      </c>
      <c r="E16" s="8">
        <v>1</v>
      </c>
    </row>
    <row r="18" spans="1:5" x14ac:dyDescent="0.25">
      <c r="A18" s="19" t="s">
        <v>221</v>
      </c>
      <c r="B18" s="19" t="s">
        <v>221</v>
      </c>
      <c r="C18" s="19" t="s">
        <v>221</v>
      </c>
      <c r="D18" s="19" t="s">
        <v>221</v>
      </c>
      <c r="E18" s="19" t="s">
        <v>221</v>
      </c>
    </row>
    <row r="19" spans="1:5" x14ac:dyDescent="0.25">
      <c r="A19" s="17" t="s">
        <v>222</v>
      </c>
      <c r="B19" s="17" t="s">
        <v>222</v>
      </c>
      <c r="C19" s="17" t="s">
        <v>222</v>
      </c>
      <c r="D19" s="11" t="s">
        <v>223</v>
      </c>
      <c r="E19" s="11"/>
    </row>
    <row r="20" spans="1:5" x14ac:dyDescent="0.25">
      <c r="A20" s="8"/>
      <c r="B20" s="8"/>
      <c r="C20" s="8"/>
      <c r="D20" s="8" t="s">
        <v>224</v>
      </c>
      <c r="E20" s="8" t="s">
        <v>206</v>
      </c>
    </row>
    <row r="22" spans="1:5" x14ac:dyDescent="0.25">
      <c r="A22" s="19" t="s">
        <v>202</v>
      </c>
      <c r="B22" s="19" t="s">
        <v>202</v>
      </c>
      <c r="C22" s="19" t="s">
        <v>202</v>
      </c>
      <c r="D22" s="19" t="s">
        <v>202</v>
      </c>
      <c r="E22" s="19" t="s">
        <v>202</v>
      </c>
    </row>
    <row r="23" spans="1:5" x14ac:dyDescent="0.25">
      <c r="A23" s="17" t="s">
        <v>203</v>
      </c>
      <c r="B23" s="11"/>
      <c r="C23" s="11"/>
      <c r="D23" s="11" t="s">
        <v>193</v>
      </c>
      <c r="E23" s="11"/>
    </row>
    <row r="24" spans="1:5" x14ac:dyDescent="0.25">
      <c r="A24" s="18" t="s">
        <v>235</v>
      </c>
      <c r="B24" s="18" t="s">
        <v>235</v>
      </c>
      <c r="C24" s="18" t="s">
        <v>235</v>
      </c>
      <c r="D24" s="8" t="s">
        <v>235</v>
      </c>
      <c r="E24" s="8" t="s">
        <v>206</v>
      </c>
    </row>
  </sheetData>
  <mergeCells count="11">
    <mergeCell ref="A24:C24"/>
    <mergeCell ref="C16:D16"/>
    <mergeCell ref="A18:E18"/>
    <mergeCell ref="A19:C19"/>
    <mergeCell ref="A22:E22"/>
    <mergeCell ref="A23"/>
    <mergeCell ref="A5:E5"/>
    <mergeCell ref="A6:E6"/>
    <mergeCell ref="A13:E13"/>
    <mergeCell ref="A14:E14"/>
    <mergeCell ref="C15:D15"/>
  </mergeCells>
  <hyperlinks>
    <hyperlink ref="A2" location="'13.2'!A1" display="13.2.7" xr:uid="{00000000-0004-0000-0800-000000000000}"/>
    <hyperlink ref="F2" location="'13.2.7E'!A1" display="1" xr:uid="{00000000-0004-0000-0800-000001000000}"/>
    <hyperlink ref="E10" location="'13.2.7E'!A1" display="'13.2.7E'!A1" xr:uid="{00000000-0004-0000-0800-000002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900-000000000000}">
  <dimension ref="A1:E20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161</v>
      </c>
      <c r="B1" s="20" t="s">
        <v>161</v>
      </c>
      <c r="C1" s="20" t="s">
        <v>161</v>
      </c>
      <c r="D1" s="20" t="s">
        <v>161</v>
      </c>
      <c r="E1" s="20" t="s">
        <v>161</v>
      </c>
    </row>
    <row r="2" spans="1:5" x14ac:dyDescent="0.25">
      <c r="A2" s="20" t="s">
        <v>161</v>
      </c>
      <c r="B2" s="20" t="s">
        <v>161</v>
      </c>
      <c r="C2" s="20" t="s">
        <v>161</v>
      </c>
      <c r="D2" s="20" t="s">
        <v>161</v>
      </c>
      <c r="E2" s="20" t="s">
        <v>161</v>
      </c>
    </row>
    <row r="4" spans="1:5" x14ac:dyDescent="0.25">
      <c r="A4" s="15" t="s">
        <v>258</v>
      </c>
      <c r="B4" s="15" t="s">
        <v>258</v>
      </c>
      <c r="C4" s="15" t="s">
        <v>258</v>
      </c>
      <c r="D4" s="15" t="s">
        <v>258</v>
      </c>
      <c r="E4" s="15" t="s">
        <v>258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1877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1878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1879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1880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1881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1882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1883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1884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1885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1886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1887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1888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1889</v>
      </c>
      <c r="E19" s="8">
        <v>1</v>
      </c>
    </row>
    <row r="20" spans="1:5" x14ac:dyDescent="0.25">
      <c r="A20" s="1" t="s">
        <v>198</v>
      </c>
      <c r="B20" s="1" t="s">
        <v>198</v>
      </c>
      <c r="C20" s="1">
        <f>SUBTOTAL(103,Elements13_2_401[Elemento])</f>
        <v>13</v>
      </c>
      <c r="D20" s="1" t="s">
        <v>198</v>
      </c>
      <c r="E20" s="1">
        <f>SUBTOTAL(109,Elements13_2_401[Totais:])</f>
        <v>13</v>
      </c>
    </row>
  </sheetData>
  <mergeCells count="3">
    <mergeCell ref="A1:E2"/>
    <mergeCell ref="A4:E4"/>
    <mergeCell ref="A5:E5"/>
  </mergeCells>
  <hyperlinks>
    <hyperlink ref="A1" location="'13.2.40'!A1" display="JOELHO 90º SOLDAVEL,COM DIAMETRO DE 60MM.FORNECIMENTO" xr:uid="{00000000-0004-0000-5900-000000000000}"/>
    <hyperlink ref="B1" location="'13.2.40'!A1" display="JOELHO 90º SOLDAVEL,COM DIAMETRO DE 60MM.FORNECIMENTO" xr:uid="{00000000-0004-0000-5900-000001000000}"/>
    <hyperlink ref="C1" location="'13.2.40'!A1" display="JOELHO 90º SOLDAVEL,COM DIAMETRO DE 60MM.FORNECIMENTO" xr:uid="{00000000-0004-0000-5900-000002000000}"/>
    <hyperlink ref="D1" location="'13.2.40'!A1" display="JOELHO 90º SOLDAVEL,COM DIAMETRO DE 60MM.FORNECIMENTO" xr:uid="{00000000-0004-0000-5900-000003000000}"/>
    <hyperlink ref="E1" location="'13.2.40'!A1" display="JOELHO 90º SOLDAVEL,COM DIAMETRO DE 60MM.FORNECIMENTO" xr:uid="{00000000-0004-0000-5900-000004000000}"/>
    <hyperlink ref="A2" location="'13.2.40'!A1" display="JOELHO 90º SOLDAVEL,COM DIAMETRO DE 60MM.FORNECIMENTO" xr:uid="{00000000-0004-0000-5900-000005000000}"/>
    <hyperlink ref="B2" location="'13.2.40'!A1" display="JOELHO 90º SOLDAVEL,COM DIAMETRO DE 60MM.FORNECIMENTO" xr:uid="{00000000-0004-0000-5900-000006000000}"/>
    <hyperlink ref="C2" location="'13.2.40'!A1" display="JOELHO 90º SOLDAVEL,COM DIAMETRO DE 60MM.FORNECIMENTO" xr:uid="{00000000-0004-0000-5900-000007000000}"/>
    <hyperlink ref="D2" location="'13.2.40'!A1" display="JOELHO 90º SOLDAVEL,COM DIAMETRO DE 60MM.FORNECIMENTO" xr:uid="{00000000-0004-0000-5900-000008000000}"/>
    <hyperlink ref="E2" location="'13.2.40'!A1" display="JOELHO 90º SOLDAVEL,COM DIAMETRO DE 60MM.FORNECIMENTO" xr:uid="{00000000-0004-0000-5900-000009000000}"/>
    <hyperlink ref="A4" location="'13.2.40'!A1" display="Conexões de tubo" xr:uid="{00000000-0004-0000-5900-00000A000000}"/>
    <hyperlink ref="B4" location="'13.2.40'!A1" display="Conexões de tubo" xr:uid="{00000000-0004-0000-5900-00000B000000}"/>
    <hyperlink ref="C4" location="'13.2.40'!A1" display="Conexões de tubo" xr:uid="{00000000-0004-0000-5900-00000C000000}"/>
    <hyperlink ref="D4" location="'13.2.40'!A1" display="Conexões de tubo" xr:uid="{00000000-0004-0000-5900-00000D000000}"/>
    <hyperlink ref="E4" location="'13.2.40'!A1" display="Conexões de tubo" xr:uid="{00000000-0004-0000-59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dimension ref="A1:E7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165</v>
      </c>
      <c r="B1" s="20" t="s">
        <v>165</v>
      </c>
      <c r="C1" s="20" t="s">
        <v>165</v>
      </c>
      <c r="D1" s="20" t="s">
        <v>165</v>
      </c>
      <c r="E1" s="20" t="s">
        <v>165</v>
      </c>
    </row>
    <row r="2" spans="1:5" x14ac:dyDescent="0.25">
      <c r="A2" s="20" t="s">
        <v>165</v>
      </c>
      <c r="B2" s="20" t="s">
        <v>165</v>
      </c>
      <c r="C2" s="20" t="s">
        <v>165</v>
      </c>
      <c r="D2" s="20" t="s">
        <v>165</v>
      </c>
      <c r="E2" s="20" t="s">
        <v>165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1890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1891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1892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1893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1894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1895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1896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1897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1898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1899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1900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1901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1902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1903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1904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1905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1906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1907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205</v>
      </c>
      <c r="D25" s="8" t="s">
        <v>1908</v>
      </c>
      <c r="E25" s="8">
        <v>1</v>
      </c>
    </row>
    <row r="26" spans="1:5" ht="24.75" x14ac:dyDescent="0.25">
      <c r="A26" s="8" t="s">
        <v>338</v>
      </c>
      <c r="B26" s="8" t="s">
        <v>224</v>
      </c>
      <c r="C26" s="8" t="s">
        <v>205</v>
      </c>
      <c r="D26" s="8" t="s">
        <v>1909</v>
      </c>
      <c r="E26" s="8">
        <v>1</v>
      </c>
    </row>
    <row r="27" spans="1:5" ht="24.75" x14ac:dyDescent="0.25">
      <c r="A27" s="8" t="s">
        <v>338</v>
      </c>
      <c r="B27" s="8" t="s">
        <v>224</v>
      </c>
      <c r="C27" s="8" t="s">
        <v>205</v>
      </c>
      <c r="D27" s="8" t="s">
        <v>1910</v>
      </c>
      <c r="E27" s="8">
        <v>1</v>
      </c>
    </row>
    <row r="28" spans="1:5" ht="24.75" x14ac:dyDescent="0.25">
      <c r="A28" s="8" t="s">
        <v>338</v>
      </c>
      <c r="B28" s="8" t="s">
        <v>224</v>
      </c>
      <c r="C28" s="8" t="s">
        <v>205</v>
      </c>
      <c r="D28" s="8" t="s">
        <v>1911</v>
      </c>
      <c r="E28" s="8">
        <v>1</v>
      </c>
    </row>
    <row r="29" spans="1:5" ht="24.75" x14ac:dyDescent="0.25">
      <c r="A29" s="8" t="s">
        <v>338</v>
      </c>
      <c r="B29" s="8" t="s">
        <v>224</v>
      </c>
      <c r="C29" s="8" t="s">
        <v>205</v>
      </c>
      <c r="D29" s="8" t="s">
        <v>1912</v>
      </c>
      <c r="E29" s="8">
        <v>1</v>
      </c>
    </row>
    <row r="30" spans="1:5" ht="24.75" x14ac:dyDescent="0.25">
      <c r="A30" s="8" t="s">
        <v>338</v>
      </c>
      <c r="B30" s="8" t="s">
        <v>224</v>
      </c>
      <c r="C30" s="8" t="s">
        <v>205</v>
      </c>
      <c r="D30" s="8" t="s">
        <v>1913</v>
      </c>
      <c r="E30" s="8">
        <v>1</v>
      </c>
    </row>
    <row r="31" spans="1:5" ht="24.75" x14ac:dyDescent="0.25">
      <c r="A31" s="8" t="s">
        <v>338</v>
      </c>
      <c r="B31" s="8" t="s">
        <v>224</v>
      </c>
      <c r="C31" s="8" t="s">
        <v>205</v>
      </c>
      <c r="D31" s="8" t="s">
        <v>1914</v>
      </c>
      <c r="E31" s="8">
        <v>1</v>
      </c>
    </row>
    <row r="32" spans="1:5" ht="24.75" x14ac:dyDescent="0.25">
      <c r="A32" s="8" t="s">
        <v>338</v>
      </c>
      <c r="B32" s="8" t="s">
        <v>224</v>
      </c>
      <c r="C32" s="8" t="s">
        <v>205</v>
      </c>
      <c r="D32" s="8" t="s">
        <v>1915</v>
      </c>
      <c r="E32" s="8">
        <v>1</v>
      </c>
    </row>
    <row r="33" spans="1:5" ht="24.75" x14ac:dyDescent="0.25">
      <c r="A33" s="8" t="s">
        <v>338</v>
      </c>
      <c r="B33" s="8" t="s">
        <v>224</v>
      </c>
      <c r="C33" s="8" t="s">
        <v>205</v>
      </c>
      <c r="D33" s="8" t="s">
        <v>1916</v>
      </c>
      <c r="E33" s="8">
        <v>1</v>
      </c>
    </row>
    <row r="34" spans="1:5" ht="24.75" x14ac:dyDescent="0.25">
      <c r="A34" s="8" t="s">
        <v>338</v>
      </c>
      <c r="B34" s="8" t="s">
        <v>224</v>
      </c>
      <c r="C34" s="8" t="s">
        <v>205</v>
      </c>
      <c r="D34" s="8" t="s">
        <v>1917</v>
      </c>
      <c r="E34" s="8">
        <v>1</v>
      </c>
    </row>
    <row r="35" spans="1:5" ht="24.75" x14ac:dyDescent="0.25">
      <c r="A35" s="8" t="s">
        <v>338</v>
      </c>
      <c r="B35" s="8" t="s">
        <v>224</v>
      </c>
      <c r="C35" s="8" t="s">
        <v>205</v>
      </c>
      <c r="D35" s="8" t="s">
        <v>1918</v>
      </c>
      <c r="E35" s="8">
        <v>1</v>
      </c>
    </row>
    <row r="36" spans="1:5" ht="24.75" x14ac:dyDescent="0.25">
      <c r="A36" s="8" t="s">
        <v>338</v>
      </c>
      <c r="B36" s="8" t="s">
        <v>224</v>
      </c>
      <c r="C36" s="8" t="s">
        <v>205</v>
      </c>
      <c r="D36" s="8" t="s">
        <v>1919</v>
      </c>
      <c r="E36" s="8">
        <v>1</v>
      </c>
    </row>
    <row r="37" spans="1:5" ht="24.75" x14ac:dyDescent="0.25">
      <c r="A37" s="8" t="s">
        <v>338</v>
      </c>
      <c r="B37" s="8" t="s">
        <v>224</v>
      </c>
      <c r="C37" s="8" t="s">
        <v>205</v>
      </c>
      <c r="D37" s="8" t="s">
        <v>1920</v>
      </c>
      <c r="E37" s="8">
        <v>1</v>
      </c>
    </row>
    <row r="38" spans="1:5" ht="24.75" x14ac:dyDescent="0.25">
      <c r="A38" s="8" t="s">
        <v>338</v>
      </c>
      <c r="B38" s="8" t="s">
        <v>224</v>
      </c>
      <c r="C38" s="8" t="s">
        <v>205</v>
      </c>
      <c r="D38" s="8" t="s">
        <v>1921</v>
      </c>
      <c r="E38" s="8">
        <v>1</v>
      </c>
    </row>
    <row r="39" spans="1:5" ht="24.75" x14ac:dyDescent="0.25">
      <c r="A39" s="8" t="s">
        <v>338</v>
      </c>
      <c r="B39" s="8" t="s">
        <v>224</v>
      </c>
      <c r="C39" s="8" t="s">
        <v>205</v>
      </c>
      <c r="D39" s="8" t="s">
        <v>1922</v>
      </c>
      <c r="E39" s="8">
        <v>1</v>
      </c>
    </row>
    <row r="40" spans="1:5" ht="24.75" x14ac:dyDescent="0.25">
      <c r="A40" s="8" t="s">
        <v>338</v>
      </c>
      <c r="B40" s="8" t="s">
        <v>224</v>
      </c>
      <c r="C40" s="8" t="s">
        <v>205</v>
      </c>
      <c r="D40" s="8" t="s">
        <v>1923</v>
      </c>
      <c r="E40" s="8">
        <v>1</v>
      </c>
    </row>
    <row r="41" spans="1:5" ht="24.75" x14ac:dyDescent="0.25">
      <c r="A41" s="8" t="s">
        <v>338</v>
      </c>
      <c r="B41" s="8" t="s">
        <v>224</v>
      </c>
      <c r="C41" s="8" t="s">
        <v>205</v>
      </c>
      <c r="D41" s="8" t="s">
        <v>1924</v>
      </c>
      <c r="E41" s="8">
        <v>1</v>
      </c>
    </row>
    <row r="42" spans="1:5" ht="24.75" x14ac:dyDescent="0.25">
      <c r="A42" s="8" t="s">
        <v>338</v>
      </c>
      <c r="B42" s="8" t="s">
        <v>224</v>
      </c>
      <c r="C42" s="8" t="s">
        <v>205</v>
      </c>
      <c r="D42" s="8" t="s">
        <v>1925</v>
      </c>
      <c r="E42" s="8">
        <v>1</v>
      </c>
    </row>
    <row r="43" spans="1:5" ht="24.75" x14ac:dyDescent="0.25">
      <c r="A43" s="8" t="s">
        <v>338</v>
      </c>
      <c r="B43" s="8" t="s">
        <v>224</v>
      </c>
      <c r="C43" s="8" t="s">
        <v>205</v>
      </c>
      <c r="D43" s="8" t="s">
        <v>1926</v>
      </c>
      <c r="E43" s="8">
        <v>1</v>
      </c>
    </row>
    <row r="44" spans="1:5" ht="24.75" x14ac:dyDescent="0.25">
      <c r="A44" s="8" t="s">
        <v>338</v>
      </c>
      <c r="B44" s="8" t="s">
        <v>224</v>
      </c>
      <c r="C44" s="8" t="s">
        <v>205</v>
      </c>
      <c r="D44" s="8" t="s">
        <v>1927</v>
      </c>
      <c r="E44" s="8">
        <v>1</v>
      </c>
    </row>
    <row r="45" spans="1:5" ht="24.75" x14ac:dyDescent="0.25">
      <c r="A45" s="8" t="s">
        <v>338</v>
      </c>
      <c r="B45" s="8" t="s">
        <v>224</v>
      </c>
      <c r="C45" s="8" t="s">
        <v>205</v>
      </c>
      <c r="D45" s="8" t="s">
        <v>1928</v>
      </c>
      <c r="E45" s="8">
        <v>1</v>
      </c>
    </row>
    <row r="46" spans="1:5" ht="24.75" x14ac:dyDescent="0.25">
      <c r="A46" s="8" t="s">
        <v>338</v>
      </c>
      <c r="B46" s="8" t="s">
        <v>224</v>
      </c>
      <c r="C46" s="8" t="s">
        <v>205</v>
      </c>
      <c r="D46" s="8" t="s">
        <v>1929</v>
      </c>
      <c r="E46" s="8">
        <v>1</v>
      </c>
    </row>
    <row r="47" spans="1:5" ht="24.75" x14ac:dyDescent="0.25">
      <c r="A47" s="8" t="s">
        <v>338</v>
      </c>
      <c r="B47" s="8" t="s">
        <v>224</v>
      </c>
      <c r="C47" s="8" t="s">
        <v>205</v>
      </c>
      <c r="D47" s="8" t="s">
        <v>1930</v>
      </c>
      <c r="E47" s="8">
        <v>1</v>
      </c>
    </row>
    <row r="48" spans="1:5" ht="24.75" x14ac:dyDescent="0.25">
      <c r="A48" s="8" t="s">
        <v>338</v>
      </c>
      <c r="B48" s="8" t="s">
        <v>224</v>
      </c>
      <c r="C48" s="8" t="s">
        <v>205</v>
      </c>
      <c r="D48" s="8" t="s">
        <v>1931</v>
      </c>
      <c r="E48" s="8">
        <v>1</v>
      </c>
    </row>
    <row r="49" spans="1:5" ht="24.75" x14ac:dyDescent="0.25">
      <c r="A49" s="8" t="s">
        <v>338</v>
      </c>
      <c r="B49" s="8" t="s">
        <v>224</v>
      </c>
      <c r="C49" s="8" t="s">
        <v>205</v>
      </c>
      <c r="D49" s="8" t="s">
        <v>1932</v>
      </c>
      <c r="E49" s="8">
        <v>1</v>
      </c>
    </row>
    <row r="50" spans="1:5" ht="24.75" x14ac:dyDescent="0.25">
      <c r="A50" s="8" t="s">
        <v>338</v>
      </c>
      <c r="B50" s="8" t="s">
        <v>224</v>
      </c>
      <c r="C50" s="8" t="s">
        <v>205</v>
      </c>
      <c r="D50" s="8" t="s">
        <v>1933</v>
      </c>
      <c r="E50" s="8">
        <v>1</v>
      </c>
    </row>
    <row r="51" spans="1:5" ht="24.75" x14ac:dyDescent="0.25">
      <c r="A51" s="8" t="s">
        <v>338</v>
      </c>
      <c r="B51" s="8" t="s">
        <v>224</v>
      </c>
      <c r="C51" s="8" t="s">
        <v>205</v>
      </c>
      <c r="D51" s="8" t="s">
        <v>1934</v>
      </c>
      <c r="E51" s="8">
        <v>1</v>
      </c>
    </row>
    <row r="52" spans="1:5" ht="24.75" x14ac:dyDescent="0.25">
      <c r="A52" s="8" t="s">
        <v>338</v>
      </c>
      <c r="B52" s="8" t="s">
        <v>224</v>
      </c>
      <c r="C52" s="8" t="s">
        <v>205</v>
      </c>
      <c r="D52" s="8" t="s">
        <v>1935</v>
      </c>
      <c r="E52" s="8">
        <v>1</v>
      </c>
    </row>
    <row r="53" spans="1:5" ht="24.75" x14ac:dyDescent="0.25">
      <c r="A53" s="8" t="s">
        <v>338</v>
      </c>
      <c r="B53" s="8" t="s">
        <v>224</v>
      </c>
      <c r="C53" s="8" t="s">
        <v>205</v>
      </c>
      <c r="D53" s="8" t="s">
        <v>1936</v>
      </c>
      <c r="E53" s="8">
        <v>1</v>
      </c>
    </row>
    <row r="54" spans="1:5" ht="24.75" x14ac:dyDescent="0.25">
      <c r="A54" s="8" t="s">
        <v>338</v>
      </c>
      <c r="B54" s="8" t="s">
        <v>224</v>
      </c>
      <c r="C54" s="8" t="s">
        <v>205</v>
      </c>
      <c r="D54" s="8" t="s">
        <v>1937</v>
      </c>
      <c r="E54" s="8">
        <v>1</v>
      </c>
    </row>
    <row r="55" spans="1:5" ht="24.75" x14ac:dyDescent="0.25">
      <c r="A55" s="8" t="s">
        <v>338</v>
      </c>
      <c r="B55" s="8" t="s">
        <v>224</v>
      </c>
      <c r="C55" s="8" t="s">
        <v>205</v>
      </c>
      <c r="D55" s="8" t="s">
        <v>1938</v>
      </c>
      <c r="E55" s="8">
        <v>1</v>
      </c>
    </row>
    <row r="56" spans="1:5" ht="24.75" x14ac:dyDescent="0.25">
      <c r="A56" s="8" t="s">
        <v>338</v>
      </c>
      <c r="B56" s="8" t="s">
        <v>224</v>
      </c>
      <c r="C56" s="8" t="s">
        <v>205</v>
      </c>
      <c r="D56" s="8" t="s">
        <v>1939</v>
      </c>
      <c r="E56" s="8">
        <v>1</v>
      </c>
    </row>
    <row r="57" spans="1:5" ht="24.75" x14ac:dyDescent="0.25">
      <c r="A57" s="8" t="s">
        <v>338</v>
      </c>
      <c r="B57" s="8" t="s">
        <v>224</v>
      </c>
      <c r="C57" s="8" t="s">
        <v>205</v>
      </c>
      <c r="D57" s="8" t="s">
        <v>1940</v>
      </c>
      <c r="E57" s="8">
        <v>1</v>
      </c>
    </row>
    <row r="58" spans="1:5" ht="24.75" x14ac:dyDescent="0.25">
      <c r="A58" s="8" t="s">
        <v>338</v>
      </c>
      <c r="B58" s="8" t="s">
        <v>224</v>
      </c>
      <c r="C58" s="8" t="s">
        <v>205</v>
      </c>
      <c r="D58" s="8" t="s">
        <v>1941</v>
      </c>
      <c r="E58" s="8">
        <v>1</v>
      </c>
    </row>
    <row r="59" spans="1:5" ht="24.75" x14ac:dyDescent="0.25">
      <c r="A59" s="8" t="s">
        <v>338</v>
      </c>
      <c r="B59" s="8" t="s">
        <v>224</v>
      </c>
      <c r="C59" s="8" t="s">
        <v>205</v>
      </c>
      <c r="D59" s="8" t="s">
        <v>1942</v>
      </c>
      <c r="E59" s="8">
        <v>1</v>
      </c>
    </row>
    <row r="60" spans="1:5" ht="24.75" x14ac:dyDescent="0.25">
      <c r="A60" s="8" t="s">
        <v>338</v>
      </c>
      <c r="B60" s="8" t="s">
        <v>224</v>
      </c>
      <c r="C60" s="8" t="s">
        <v>205</v>
      </c>
      <c r="D60" s="8" t="s">
        <v>1943</v>
      </c>
      <c r="E60" s="8">
        <v>1</v>
      </c>
    </row>
    <row r="61" spans="1:5" ht="24.75" x14ac:dyDescent="0.25">
      <c r="A61" s="8" t="s">
        <v>338</v>
      </c>
      <c r="B61" s="8" t="s">
        <v>224</v>
      </c>
      <c r="C61" s="8" t="s">
        <v>205</v>
      </c>
      <c r="D61" s="8" t="s">
        <v>1944</v>
      </c>
      <c r="E61" s="8">
        <v>1</v>
      </c>
    </row>
    <row r="62" spans="1:5" ht="24.75" x14ac:dyDescent="0.25">
      <c r="A62" s="8" t="s">
        <v>338</v>
      </c>
      <c r="B62" s="8" t="s">
        <v>224</v>
      </c>
      <c r="C62" s="8" t="s">
        <v>205</v>
      </c>
      <c r="D62" s="8" t="s">
        <v>1945</v>
      </c>
      <c r="E62" s="8">
        <v>1</v>
      </c>
    </row>
    <row r="63" spans="1:5" ht="24.75" x14ac:dyDescent="0.25">
      <c r="A63" s="8" t="s">
        <v>338</v>
      </c>
      <c r="B63" s="8" t="s">
        <v>224</v>
      </c>
      <c r="C63" s="8" t="s">
        <v>205</v>
      </c>
      <c r="D63" s="8" t="s">
        <v>1946</v>
      </c>
      <c r="E63" s="8">
        <v>1</v>
      </c>
    </row>
    <row r="64" spans="1:5" ht="24.75" x14ac:dyDescent="0.25">
      <c r="A64" s="8" t="s">
        <v>338</v>
      </c>
      <c r="B64" s="8" t="s">
        <v>224</v>
      </c>
      <c r="C64" s="8" t="s">
        <v>205</v>
      </c>
      <c r="D64" s="8" t="s">
        <v>1947</v>
      </c>
      <c r="E64" s="8">
        <v>1</v>
      </c>
    </row>
    <row r="65" spans="1:5" ht="24.75" x14ac:dyDescent="0.25">
      <c r="A65" s="8" t="s">
        <v>338</v>
      </c>
      <c r="B65" s="8" t="s">
        <v>224</v>
      </c>
      <c r="C65" s="8" t="s">
        <v>205</v>
      </c>
      <c r="D65" s="8" t="s">
        <v>1948</v>
      </c>
      <c r="E65" s="8">
        <v>1</v>
      </c>
    </row>
    <row r="66" spans="1:5" ht="24.75" x14ac:dyDescent="0.25">
      <c r="A66" s="8" t="s">
        <v>338</v>
      </c>
      <c r="B66" s="8" t="s">
        <v>224</v>
      </c>
      <c r="C66" s="8" t="s">
        <v>205</v>
      </c>
      <c r="D66" s="8" t="s">
        <v>1949</v>
      </c>
      <c r="E66" s="8">
        <v>1</v>
      </c>
    </row>
    <row r="67" spans="1:5" ht="24.75" x14ac:dyDescent="0.25">
      <c r="A67" s="8" t="s">
        <v>338</v>
      </c>
      <c r="B67" s="8" t="s">
        <v>224</v>
      </c>
      <c r="C67" s="8" t="s">
        <v>205</v>
      </c>
      <c r="D67" s="8" t="s">
        <v>1950</v>
      </c>
      <c r="E67" s="8">
        <v>1</v>
      </c>
    </row>
    <row r="68" spans="1:5" ht="24.75" x14ac:dyDescent="0.25">
      <c r="A68" s="8" t="s">
        <v>338</v>
      </c>
      <c r="B68" s="8" t="s">
        <v>224</v>
      </c>
      <c r="C68" s="8" t="s">
        <v>205</v>
      </c>
      <c r="D68" s="8" t="s">
        <v>1951</v>
      </c>
      <c r="E68" s="8">
        <v>1</v>
      </c>
    </row>
    <row r="69" spans="1:5" ht="24.75" x14ac:dyDescent="0.25">
      <c r="A69" s="8" t="s">
        <v>338</v>
      </c>
      <c r="B69" s="8" t="s">
        <v>224</v>
      </c>
      <c r="C69" s="8" t="s">
        <v>205</v>
      </c>
      <c r="D69" s="8" t="s">
        <v>1952</v>
      </c>
      <c r="E69" s="8">
        <v>1</v>
      </c>
    </row>
    <row r="70" spans="1:5" ht="24.75" x14ac:dyDescent="0.25">
      <c r="A70" s="8" t="s">
        <v>338</v>
      </c>
      <c r="B70" s="8" t="s">
        <v>224</v>
      </c>
      <c r="C70" s="8" t="s">
        <v>205</v>
      </c>
      <c r="D70" s="8" t="s">
        <v>1953</v>
      </c>
      <c r="E70" s="8">
        <v>1</v>
      </c>
    </row>
    <row r="71" spans="1:5" ht="24.75" x14ac:dyDescent="0.25">
      <c r="A71" s="8" t="s">
        <v>338</v>
      </c>
      <c r="B71" s="8" t="s">
        <v>224</v>
      </c>
      <c r="C71" s="8" t="s">
        <v>205</v>
      </c>
      <c r="D71" s="8" t="s">
        <v>1954</v>
      </c>
      <c r="E71" s="8">
        <v>1</v>
      </c>
    </row>
    <row r="72" spans="1:5" ht="24.75" x14ac:dyDescent="0.25">
      <c r="A72" s="8" t="s">
        <v>338</v>
      </c>
      <c r="B72" s="8" t="s">
        <v>224</v>
      </c>
      <c r="C72" s="8" t="s">
        <v>205</v>
      </c>
      <c r="D72" s="8" t="s">
        <v>1955</v>
      </c>
      <c r="E72" s="8">
        <v>1</v>
      </c>
    </row>
    <row r="73" spans="1:5" ht="24.75" x14ac:dyDescent="0.25">
      <c r="A73" s="8" t="s">
        <v>338</v>
      </c>
      <c r="B73" s="8" t="s">
        <v>224</v>
      </c>
      <c r="C73" s="8" t="s">
        <v>205</v>
      </c>
      <c r="D73" s="8" t="s">
        <v>1956</v>
      </c>
      <c r="E73" s="8">
        <v>1</v>
      </c>
    </row>
    <row r="74" spans="1:5" ht="24.75" x14ac:dyDescent="0.25">
      <c r="A74" s="8" t="s">
        <v>338</v>
      </c>
      <c r="B74" s="8" t="s">
        <v>224</v>
      </c>
      <c r="C74" s="8" t="s">
        <v>205</v>
      </c>
      <c r="D74" s="8" t="s">
        <v>1957</v>
      </c>
      <c r="E74" s="8">
        <v>1</v>
      </c>
    </row>
    <row r="75" spans="1:5" ht="24.75" x14ac:dyDescent="0.25">
      <c r="A75" s="8" t="s">
        <v>338</v>
      </c>
      <c r="B75" s="8" t="s">
        <v>224</v>
      </c>
      <c r="C75" s="8" t="s">
        <v>205</v>
      </c>
      <c r="D75" s="8" t="s">
        <v>1958</v>
      </c>
      <c r="E75" s="8">
        <v>1</v>
      </c>
    </row>
    <row r="76" spans="1:5" ht="24.75" x14ac:dyDescent="0.25">
      <c r="A76" s="8" t="s">
        <v>338</v>
      </c>
      <c r="B76" s="8" t="s">
        <v>224</v>
      </c>
      <c r="C76" s="8" t="s">
        <v>205</v>
      </c>
      <c r="D76" s="8" t="s">
        <v>1959</v>
      </c>
      <c r="E76" s="8">
        <v>1</v>
      </c>
    </row>
    <row r="77" spans="1:5" ht="24.75" x14ac:dyDescent="0.25">
      <c r="A77" s="8" t="s">
        <v>338</v>
      </c>
      <c r="B77" s="8" t="s">
        <v>224</v>
      </c>
      <c r="C77" s="8" t="s">
        <v>205</v>
      </c>
      <c r="D77" s="8" t="s">
        <v>1960</v>
      </c>
      <c r="E77" s="8">
        <v>1</v>
      </c>
    </row>
    <row r="78" spans="1:5" ht="24.75" x14ac:dyDescent="0.25">
      <c r="A78" s="8" t="s">
        <v>338</v>
      </c>
      <c r="B78" s="8" t="s">
        <v>224</v>
      </c>
      <c r="C78" s="8" t="s">
        <v>205</v>
      </c>
      <c r="D78" s="8" t="s">
        <v>1961</v>
      </c>
      <c r="E78" s="8">
        <v>1</v>
      </c>
    </row>
    <row r="79" spans="1:5" x14ac:dyDescent="0.25">
      <c r="A79" s="1" t="s">
        <v>198</v>
      </c>
      <c r="B79" s="1" t="s">
        <v>198</v>
      </c>
      <c r="C79" s="1">
        <f>SUBTOTAL(103,Elements13_2_411[Elemento])</f>
        <v>72</v>
      </c>
      <c r="D79" s="1" t="s">
        <v>198</v>
      </c>
      <c r="E79" s="1">
        <f>SUBTOTAL(109,Elements13_2_411[Totais:])</f>
        <v>72</v>
      </c>
    </row>
  </sheetData>
  <mergeCells count="3">
    <mergeCell ref="A1:E2"/>
    <mergeCell ref="A4:E4"/>
    <mergeCell ref="A5:E5"/>
  </mergeCells>
  <hyperlinks>
    <hyperlink ref="A1" location="'13.2.41'!A1" display="JOELHO 90º SOLDAVEL E COM BUCHA DE LATAO,COM DIAMETRO DE 25M MX3/4&quot;.FORNECIMENTO" xr:uid="{00000000-0004-0000-5A00-000000000000}"/>
    <hyperlink ref="B1" location="'13.2.41'!A1" display="JOELHO 90º SOLDAVEL E COM BUCHA DE LATAO,COM DIAMETRO DE 25M MX3/4&quot;.FORNECIMENTO" xr:uid="{00000000-0004-0000-5A00-000001000000}"/>
    <hyperlink ref="C1" location="'13.2.41'!A1" display="JOELHO 90º SOLDAVEL E COM BUCHA DE LATAO,COM DIAMETRO DE 25M MX3/4&quot;.FORNECIMENTO" xr:uid="{00000000-0004-0000-5A00-000002000000}"/>
    <hyperlink ref="D1" location="'13.2.41'!A1" display="JOELHO 90º SOLDAVEL E COM BUCHA DE LATAO,COM DIAMETRO DE 25M MX3/4&quot;.FORNECIMENTO" xr:uid="{00000000-0004-0000-5A00-000003000000}"/>
    <hyperlink ref="E1" location="'13.2.41'!A1" display="JOELHO 90º SOLDAVEL E COM BUCHA DE LATAO,COM DIAMETRO DE 25M MX3/4&quot;.FORNECIMENTO" xr:uid="{00000000-0004-0000-5A00-000004000000}"/>
    <hyperlink ref="A2" location="'13.2.41'!A1" display="JOELHO 90º SOLDAVEL E COM BUCHA DE LATAO,COM DIAMETRO DE 25M MX3/4&quot;.FORNECIMENTO" xr:uid="{00000000-0004-0000-5A00-000005000000}"/>
    <hyperlink ref="B2" location="'13.2.41'!A1" display="JOELHO 90º SOLDAVEL E COM BUCHA DE LATAO,COM DIAMETRO DE 25M MX3/4&quot;.FORNECIMENTO" xr:uid="{00000000-0004-0000-5A00-000006000000}"/>
    <hyperlink ref="C2" location="'13.2.41'!A1" display="JOELHO 90º SOLDAVEL E COM BUCHA DE LATAO,COM DIAMETRO DE 25M MX3/4&quot;.FORNECIMENTO" xr:uid="{00000000-0004-0000-5A00-000007000000}"/>
    <hyperlink ref="D2" location="'13.2.41'!A1" display="JOELHO 90º SOLDAVEL E COM BUCHA DE LATAO,COM DIAMETRO DE 25M MX3/4&quot;.FORNECIMENTO" xr:uid="{00000000-0004-0000-5A00-000008000000}"/>
    <hyperlink ref="E2" location="'13.2.41'!A1" display="JOELHO 90º SOLDAVEL E COM BUCHA DE LATAO,COM DIAMETRO DE 25M MX3/4&quot;.FORNECIMENTO" xr:uid="{00000000-0004-0000-5A00-000009000000}"/>
    <hyperlink ref="A4" location="'13.2.41'!A1" display="Conexões de tubo (Afastamento)" xr:uid="{00000000-0004-0000-5A00-00000A000000}"/>
    <hyperlink ref="B4" location="'13.2.41'!A1" display="Conexões de tubo (Afastamento)" xr:uid="{00000000-0004-0000-5A00-00000B000000}"/>
    <hyperlink ref="C4" location="'13.2.41'!A1" display="Conexões de tubo (Afastamento)" xr:uid="{00000000-0004-0000-5A00-00000C000000}"/>
    <hyperlink ref="D4" location="'13.2.41'!A1" display="Conexões de tubo (Afastamento)" xr:uid="{00000000-0004-0000-5A00-00000D000000}"/>
    <hyperlink ref="E4" location="'13.2.41'!A1" display="Conexões de tubo (Afastamento)" xr:uid="{00000000-0004-0000-5A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B00-000000000000}">
  <dimension ref="A1:E15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169</v>
      </c>
      <c r="B1" s="20" t="s">
        <v>169</v>
      </c>
      <c r="C1" s="20" t="s">
        <v>169</v>
      </c>
      <c r="D1" s="20" t="s">
        <v>169</v>
      </c>
      <c r="E1" s="20" t="s">
        <v>169</v>
      </c>
    </row>
    <row r="2" spans="1:5" x14ac:dyDescent="0.25">
      <c r="A2" s="20" t="s">
        <v>169</v>
      </c>
      <c r="B2" s="20" t="s">
        <v>169</v>
      </c>
      <c r="C2" s="20" t="s">
        <v>169</v>
      </c>
      <c r="D2" s="20" t="s">
        <v>169</v>
      </c>
      <c r="E2" s="20" t="s">
        <v>169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1962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1963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1964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1965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1966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1967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1968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1969</v>
      </c>
      <c r="E14" s="8">
        <v>1</v>
      </c>
    </row>
    <row r="15" spans="1:5" x14ac:dyDescent="0.25">
      <c r="A15" s="1" t="s">
        <v>198</v>
      </c>
      <c r="B15" s="1" t="s">
        <v>198</v>
      </c>
      <c r="C15" s="1">
        <f>SUBTOTAL(103,Elements13_2_421[Elemento])</f>
        <v>8</v>
      </c>
      <c r="D15" s="1" t="s">
        <v>198</v>
      </c>
      <c r="E15" s="1">
        <f>SUBTOTAL(109,Elements13_2_421[Totais:])</f>
        <v>8</v>
      </c>
    </row>
  </sheetData>
  <mergeCells count="3">
    <mergeCell ref="A1:E2"/>
    <mergeCell ref="A4:E4"/>
    <mergeCell ref="A5:E5"/>
  </mergeCells>
  <hyperlinks>
    <hyperlink ref="A1" location="'13.2.42'!A1" display="UNIAO SOLDAVEL,COM DIAMETRO DE 50MM.FORNECIMENTO" xr:uid="{00000000-0004-0000-5B00-000000000000}"/>
    <hyperlink ref="B1" location="'13.2.42'!A1" display="UNIAO SOLDAVEL,COM DIAMETRO DE 50MM.FORNECIMENTO" xr:uid="{00000000-0004-0000-5B00-000001000000}"/>
    <hyperlink ref="C1" location="'13.2.42'!A1" display="UNIAO SOLDAVEL,COM DIAMETRO DE 50MM.FORNECIMENTO" xr:uid="{00000000-0004-0000-5B00-000002000000}"/>
    <hyperlink ref="D1" location="'13.2.42'!A1" display="UNIAO SOLDAVEL,COM DIAMETRO DE 50MM.FORNECIMENTO" xr:uid="{00000000-0004-0000-5B00-000003000000}"/>
    <hyperlink ref="E1" location="'13.2.42'!A1" display="UNIAO SOLDAVEL,COM DIAMETRO DE 50MM.FORNECIMENTO" xr:uid="{00000000-0004-0000-5B00-000004000000}"/>
    <hyperlink ref="A2" location="'13.2.42'!A1" display="UNIAO SOLDAVEL,COM DIAMETRO DE 50MM.FORNECIMENTO" xr:uid="{00000000-0004-0000-5B00-000005000000}"/>
    <hyperlink ref="B2" location="'13.2.42'!A1" display="UNIAO SOLDAVEL,COM DIAMETRO DE 50MM.FORNECIMENTO" xr:uid="{00000000-0004-0000-5B00-000006000000}"/>
    <hyperlink ref="C2" location="'13.2.42'!A1" display="UNIAO SOLDAVEL,COM DIAMETRO DE 50MM.FORNECIMENTO" xr:uid="{00000000-0004-0000-5B00-000007000000}"/>
    <hyperlink ref="D2" location="'13.2.42'!A1" display="UNIAO SOLDAVEL,COM DIAMETRO DE 50MM.FORNECIMENTO" xr:uid="{00000000-0004-0000-5B00-000008000000}"/>
    <hyperlink ref="E2" location="'13.2.42'!A1" display="UNIAO SOLDAVEL,COM DIAMETRO DE 50MM.FORNECIMENTO" xr:uid="{00000000-0004-0000-5B00-000009000000}"/>
    <hyperlink ref="A4" location="'13.2.42'!A1" display="Conexões de tubo (Afastamento)" xr:uid="{00000000-0004-0000-5B00-00000A000000}"/>
    <hyperlink ref="B4" location="'13.2.42'!A1" display="Conexões de tubo (Afastamento)" xr:uid="{00000000-0004-0000-5B00-00000B000000}"/>
    <hyperlink ref="C4" location="'13.2.42'!A1" display="Conexões de tubo (Afastamento)" xr:uid="{00000000-0004-0000-5B00-00000C000000}"/>
    <hyperlink ref="D4" location="'13.2.42'!A1" display="Conexões de tubo (Afastamento)" xr:uid="{00000000-0004-0000-5B00-00000D000000}"/>
    <hyperlink ref="E4" location="'13.2.42'!A1" display="Conexões de tubo (Afastamento)" xr:uid="{00000000-0004-0000-5B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dimension ref="A1:E2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173</v>
      </c>
      <c r="B1" s="20" t="s">
        <v>173</v>
      </c>
      <c r="C1" s="20" t="s">
        <v>173</v>
      </c>
      <c r="D1" s="20" t="s">
        <v>173</v>
      </c>
      <c r="E1" s="20" t="s">
        <v>173</v>
      </c>
    </row>
    <row r="2" spans="1:5" x14ac:dyDescent="0.25">
      <c r="A2" s="20" t="s">
        <v>173</v>
      </c>
      <c r="B2" s="20" t="s">
        <v>173</v>
      </c>
      <c r="C2" s="20" t="s">
        <v>173</v>
      </c>
      <c r="D2" s="20" t="s">
        <v>173</v>
      </c>
      <c r="E2" s="20" t="s">
        <v>173</v>
      </c>
    </row>
    <row r="4" spans="1:5" x14ac:dyDescent="0.25">
      <c r="A4" s="15" t="s">
        <v>197</v>
      </c>
      <c r="B4" s="15" t="s">
        <v>197</v>
      </c>
      <c r="C4" s="15" t="s">
        <v>197</v>
      </c>
      <c r="D4" s="15" t="s">
        <v>197</v>
      </c>
      <c r="E4" s="15" t="s">
        <v>197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205</v>
      </c>
      <c r="D7" s="8" t="s">
        <v>1970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205</v>
      </c>
      <c r="D8" s="8" t="s">
        <v>1971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205</v>
      </c>
      <c r="D9" s="8" t="s">
        <v>1972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205</v>
      </c>
      <c r="D10" s="8" t="s">
        <v>1973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205</v>
      </c>
      <c r="D11" s="8" t="s">
        <v>1974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205</v>
      </c>
      <c r="D12" s="8" t="s">
        <v>1975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205</v>
      </c>
      <c r="D13" s="8" t="s">
        <v>1976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205</v>
      </c>
      <c r="D14" s="8" t="s">
        <v>1977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205</v>
      </c>
      <c r="D15" s="8" t="s">
        <v>1978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205</v>
      </c>
      <c r="D16" s="8" t="s">
        <v>1979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205</v>
      </c>
      <c r="D17" s="8" t="s">
        <v>1980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205</v>
      </c>
      <c r="D18" s="8" t="s">
        <v>1981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205</v>
      </c>
      <c r="D19" s="8" t="s">
        <v>1982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205</v>
      </c>
      <c r="D20" s="8" t="s">
        <v>1983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205</v>
      </c>
      <c r="D21" s="8" t="s">
        <v>1984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205</v>
      </c>
      <c r="D22" s="8" t="s">
        <v>1985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205</v>
      </c>
      <c r="D23" s="8" t="s">
        <v>1986</v>
      </c>
      <c r="E23" s="8">
        <v>1</v>
      </c>
    </row>
    <row r="24" spans="1:5" ht="24.75" x14ac:dyDescent="0.25">
      <c r="A24" s="8" t="s">
        <v>338</v>
      </c>
      <c r="B24" s="8" t="s">
        <v>224</v>
      </c>
      <c r="C24" s="8" t="s">
        <v>205</v>
      </c>
      <c r="D24" s="8" t="s">
        <v>1987</v>
      </c>
      <c r="E24" s="8">
        <v>1</v>
      </c>
    </row>
    <row r="25" spans="1:5" ht="24.75" x14ac:dyDescent="0.25">
      <c r="A25" s="8" t="s">
        <v>338</v>
      </c>
      <c r="B25" s="8" t="s">
        <v>224</v>
      </c>
      <c r="C25" s="8" t="s">
        <v>205</v>
      </c>
      <c r="D25" s="8" t="s">
        <v>1988</v>
      </c>
      <c r="E25" s="8">
        <v>1</v>
      </c>
    </row>
    <row r="26" spans="1:5" ht="24.75" x14ac:dyDescent="0.25">
      <c r="A26" s="8" t="s">
        <v>338</v>
      </c>
      <c r="B26" s="8" t="s">
        <v>224</v>
      </c>
      <c r="C26" s="8" t="s">
        <v>205</v>
      </c>
      <c r="D26" s="8" t="s">
        <v>1989</v>
      </c>
      <c r="E26" s="8">
        <v>1</v>
      </c>
    </row>
    <row r="27" spans="1:5" ht="24.75" x14ac:dyDescent="0.25">
      <c r="A27" s="8" t="s">
        <v>338</v>
      </c>
      <c r="B27" s="8" t="s">
        <v>224</v>
      </c>
      <c r="C27" s="8" t="s">
        <v>205</v>
      </c>
      <c r="D27" s="8" t="s">
        <v>1990</v>
      </c>
      <c r="E27" s="8">
        <v>1</v>
      </c>
    </row>
    <row r="28" spans="1:5" ht="24.75" x14ac:dyDescent="0.25">
      <c r="A28" s="8" t="s">
        <v>338</v>
      </c>
      <c r="B28" s="8" t="s">
        <v>224</v>
      </c>
      <c r="C28" s="8" t="s">
        <v>205</v>
      </c>
      <c r="D28" s="8" t="s">
        <v>1991</v>
      </c>
      <c r="E28" s="8">
        <v>1</v>
      </c>
    </row>
    <row r="29" spans="1:5" x14ac:dyDescent="0.25">
      <c r="A29" s="1" t="s">
        <v>198</v>
      </c>
      <c r="B29" s="1" t="s">
        <v>198</v>
      </c>
      <c r="C29" s="1">
        <f>SUBTOTAL(103,Elements13_2_431[Elemento])</f>
        <v>22</v>
      </c>
      <c r="D29" s="1" t="s">
        <v>198</v>
      </c>
      <c r="E29" s="1">
        <f>SUBTOTAL(109,Elements13_2_431[Totais:])</f>
        <v>22</v>
      </c>
    </row>
  </sheetData>
  <mergeCells count="3">
    <mergeCell ref="A1:E2"/>
    <mergeCell ref="A4:E4"/>
    <mergeCell ref="A5:E5"/>
  </mergeCells>
  <hyperlinks>
    <hyperlink ref="A1" location="'13.2.43'!A1" display="UNIAO SOLDAVEL,COM DIAMETRO DE 60MM.FORNECIMENTO" xr:uid="{00000000-0004-0000-5C00-000000000000}"/>
    <hyperlink ref="B1" location="'13.2.43'!A1" display="UNIAO SOLDAVEL,COM DIAMETRO DE 60MM.FORNECIMENTO" xr:uid="{00000000-0004-0000-5C00-000001000000}"/>
    <hyperlink ref="C1" location="'13.2.43'!A1" display="UNIAO SOLDAVEL,COM DIAMETRO DE 60MM.FORNECIMENTO" xr:uid="{00000000-0004-0000-5C00-000002000000}"/>
    <hyperlink ref="D1" location="'13.2.43'!A1" display="UNIAO SOLDAVEL,COM DIAMETRO DE 60MM.FORNECIMENTO" xr:uid="{00000000-0004-0000-5C00-000003000000}"/>
    <hyperlink ref="E1" location="'13.2.43'!A1" display="UNIAO SOLDAVEL,COM DIAMETRO DE 60MM.FORNECIMENTO" xr:uid="{00000000-0004-0000-5C00-000004000000}"/>
    <hyperlink ref="A2" location="'13.2.43'!A1" display="UNIAO SOLDAVEL,COM DIAMETRO DE 60MM.FORNECIMENTO" xr:uid="{00000000-0004-0000-5C00-000005000000}"/>
    <hyperlink ref="B2" location="'13.2.43'!A1" display="UNIAO SOLDAVEL,COM DIAMETRO DE 60MM.FORNECIMENTO" xr:uid="{00000000-0004-0000-5C00-000006000000}"/>
    <hyperlink ref="C2" location="'13.2.43'!A1" display="UNIAO SOLDAVEL,COM DIAMETRO DE 60MM.FORNECIMENTO" xr:uid="{00000000-0004-0000-5C00-000007000000}"/>
    <hyperlink ref="D2" location="'13.2.43'!A1" display="UNIAO SOLDAVEL,COM DIAMETRO DE 60MM.FORNECIMENTO" xr:uid="{00000000-0004-0000-5C00-000008000000}"/>
    <hyperlink ref="E2" location="'13.2.43'!A1" display="UNIAO SOLDAVEL,COM DIAMETRO DE 60MM.FORNECIMENTO" xr:uid="{00000000-0004-0000-5C00-000009000000}"/>
    <hyperlink ref="A4" location="'13.2.43'!A1" display="Conexões de tubo (Afastamento)" xr:uid="{00000000-0004-0000-5C00-00000A000000}"/>
    <hyperlink ref="B4" location="'13.2.43'!A1" display="Conexões de tubo (Afastamento)" xr:uid="{00000000-0004-0000-5C00-00000B000000}"/>
    <hyperlink ref="C4" location="'13.2.43'!A1" display="Conexões de tubo (Afastamento)" xr:uid="{00000000-0004-0000-5C00-00000C000000}"/>
    <hyperlink ref="D4" location="'13.2.43'!A1" display="Conexões de tubo (Afastamento)" xr:uid="{00000000-0004-0000-5C00-00000D000000}"/>
    <hyperlink ref="E4" location="'13.2.43'!A1" display="Conexões de tubo (Afastamento)" xr:uid="{00000000-0004-0000-5C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dimension ref="A1:E9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177</v>
      </c>
      <c r="B1" s="20" t="s">
        <v>177</v>
      </c>
      <c r="C1" s="20" t="s">
        <v>177</v>
      </c>
      <c r="D1" s="20" t="s">
        <v>177</v>
      </c>
      <c r="E1" s="20" t="s">
        <v>177</v>
      </c>
    </row>
    <row r="2" spans="1:5" x14ac:dyDescent="0.25">
      <c r="A2" s="20" t="s">
        <v>177</v>
      </c>
      <c r="B2" s="20" t="s">
        <v>177</v>
      </c>
      <c r="C2" s="20" t="s">
        <v>177</v>
      </c>
      <c r="D2" s="20" t="s">
        <v>177</v>
      </c>
      <c r="E2" s="20" t="s">
        <v>177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247</v>
      </c>
      <c r="D7" s="8" t="s">
        <v>1992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247</v>
      </c>
      <c r="D8" s="8" t="s">
        <v>1993</v>
      </c>
      <c r="E8" s="8">
        <v>1</v>
      </c>
    </row>
    <row r="9" spans="1:5" x14ac:dyDescent="0.25">
      <c r="A9" s="1" t="s">
        <v>198</v>
      </c>
      <c r="B9" s="1" t="s">
        <v>198</v>
      </c>
      <c r="C9" s="1">
        <f>SUBTOTAL(103,Elements13_2_441[Elemento])</f>
        <v>2</v>
      </c>
      <c r="D9" s="1" t="s">
        <v>198</v>
      </c>
      <c r="E9" s="1">
        <f>SUBTOTAL(109,Elements13_2_441[Totais:])</f>
        <v>2</v>
      </c>
    </row>
  </sheetData>
  <mergeCells count="3">
    <mergeCell ref="A1:E2"/>
    <mergeCell ref="A4:E4"/>
    <mergeCell ref="A5:E5"/>
  </mergeCells>
  <hyperlinks>
    <hyperlink ref="A1" location="'13.2.44'!A1" display="VALVULA DE PE,COM CRIVO EM PVC,SOLDAVEL,COM DIAMETRO DE 50MM .FORNECIMENTO E COLOCACAO" xr:uid="{00000000-0004-0000-5D00-000000000000}"/>
    <hyperlink ref="B1" location="'13.2.44'!A1" display="VALVULA DE PE,COM CRIVO EM PVC,SOLDAVEL,COM DIAMETRO DE 50MM .FORNECIMENTO E COLOCACAO" xr:uid="{00000000-0004-0000-5D00-000001000000}"/>
    <hyperlink ref="C1" location="'13.2.44'!A1" display="VALVULA DE PE,COM CRIVO EM PVC,SOLDAVEL,COM DIAMETRO DE 50MM .FORNECIMENTO E COLOCACAO" xr:uid="{00000000-0004-0000-5D00-000002000000}"/>
    <hyperlink ref="D1" location="'13.2.44'!A1" display="VALVULA DE PE,COM CRIVO EM PVC,SOLDAVEL,COM DIAMETRO DE 50MM .FORNECIMENTO E COLOCACAO" xr:uid="{00000000-0004-0000-5D00-000003000000}"/>
    <hyperlink ref="E1" location="'13.2.44'!A1" display="VALVULA DE PE,COM CRIVO EM PVC,SOLDAVEL,COM DIAMETRO DE 50MM .FORNECIMENTO E COLOCACAO" xr:uid="{00000000-0004-0000-5D00-000004000000}"/>
    <hyperlink ref="A2" location="'13.2.44'!A1" display="VALVULA DE PE,COM CRIVO EM PVC,SOLDAVEL,COM DIAMETRO DE 50MM .FORNECIMENTO E COLOCACAO" xr:uid="{00000000-0004-0000-5D00-000005000000}"/>
    <hyperlink ref="B2" location="'13.2.44'!A1" display="VALVULA DE PE,COM CRIVO EM PVC,SOLDAVEL,COM DIAMETRO DE 50MM .FORNECIMENTO E COLOCACAO" xr:uid="{00000000-0004-0000-5D00-000006000000}"/>
    <hyperlink ref="C2" location="'13.2.44'!A1" display="VALVULA DE PE,COM CRIVO EM PVC,SOLDAVEL,COM DIAMETRO DE 50MM .FORNECIMENTO E COLOCACAO" xr:uid="{00000000-0004-0000-5D00-000007000000}"/>
    <hyperlink ref="D2" location="'13.2.44'!A1" display="VALVULA DE PE,COM CRIVO EM PVC,SOLDAVEL,COM DIAMETRO DE 50MM .FORNECIMENTO E COLOCACAO" xr:uid="{00000000-0004-0000-5D00-000008000000}"/>
    <hyperlink ref="E2" location="'13.2.44'!A1" display="VALVULA DE PE,COM CRIVO EM PVC,SOLDAVEL,COM DIAMETRO DE 50MM .FORNECIMENTO E COLOCACAO" xr:uid="{00000000-0004-0000-5D00-000009000000}"/>
    <hyperlink ref="A4" location="'13.2.44'!A1" display="Acessórios do tubo (A)" xr:uid="{00000000-0004-0000-5D00-00000A000000}"/>
    <hyperlink ref="B4" location="'13.2.44'!A1" display="Acessórios do tubo (A)" xr:uid="{00000000-0004-0000-5D00-00000B000000}"/>
    <hyperlink ref="C4" location="'13.2.44'!A1" display="Acessórios do tubo (A)" xr:uid="{00000000-0004-0000-5D00-00000C000000}"/>
    <hyperlink ref="D4" location="'13.2.44'!A1" display="Acessórios do tubo (A)" xr:uid="{00000000-0004-0000-5D00-00000D000000}"/>
    <hyperlink ref="E4" location="'13.2.44'!A1" display="Acessórios do tubo (A)" xr:uid="{00000000-0004-0000-5D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dimension ref="A1:E1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180</v>
      </c>
      <c r="B1" s="20" t="s">
        <v>180</v>
      </c>
      <c r="C1" s="20" t="s">
        <v>180</v>
      </c>
      <c r="D1" s="20" t="s">
        <v>180</v>
      </c>
      <c r="E1" s="20" t="s">
        <v>180</v>
      </c>
    </row>
    <row r="2" spans="1:5" x14ac:dyDescent="0.25">
      <c r="A2" s="20" t="s">
        <v>180</v>
      </c>
      <c r="B2" s="20" t="s">
        <v>180</v>
      </c>
      <c r="C2" s="20" t="s">
        <v>180</v>
      </c>
      <c r="D2" s="20" t="s">
        <v>180</v>
      </c>
      <c r="E2" s="20" t="s">
        <v>180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253</v>
      </c>
      <c r="D7" s="8" t="s">
        <v>1994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253</v>
      </c>
      <c r="D8" s="8" t="s">
        <v>1995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253</v>
      </c>
      <c r="D9" s="8" t="s">
        <v>1996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253</v>
      </c>
      <c r="D10" s="8" t="s">
        <v>1997</v>
      </c>
      <c r="E10" s="8">
        <v>1</v>
      </c>
    </row>
    <row r="11" spans="1:5" x14ac:dyDescent="0.25">
      <c r="A11" s="1" t="s">
        <v>198</v>
      </c>
      <c r="B11" s="1" t="s">
        <v>198</v>
      </c>
      <c r="C11" s="1">
        <f>SUBTOTAL(103,Elements13_2_451[Elemento])</f>
        <v>4</v>
      </c>
      <c r="D11" s="1" t="s">
        <v>198</v>
      </c>
      <c r="E11" s="1">
        <f>SUBTOTAL(109,Elements13_2_451[Totais:])</f>
        <v>4</v>
      </c>
    </row>
  </sheetData>
  <mergeCells count="3">
    <mergeCell ref="A1:E2"/>
    <mergeCell ref="A4:E4"/>
    <mergeCell ref="A5:E5"/>
  </mergeCells>
  <hyperlinks>
    <hyperlink ref="A1" location="'13.2.45'!A1" display="VALVULA DE RETENCAO VERTICAL,EM PVC,SOLDAVEL,COM DIAMETRO DE 60MM.FORNECIMENTO E COLOCACAO" xr:uid="{00000000-0004-0000-5E00-000000000000}"/>
    <hyperlink ref="B1" location="'13.2.45'!A1" display="VALVULA DE RETENCAO VERTICAL,EM PVC,SOLDAVEL,COM DIAMETRO DE 60MM.FORNECIMENTO E COLOCACAO" xr:uid="{00000000-0004-0000-5E00-000001000000}"/>
    <hyperlink ref="C1" location="'13.2.45'!A1" display="VALVULA DE RETENCAO VERTICAL,EM PVC,SOLDAVEL,COM DIAMETRO DE 60MM.FORNECIMENTO E COLOCACAO" xr:uid="{00000000-0004-0000-5E00-000002000000}"/>
    <hyperlink ref="D1" location="'13.2.45'!A1" display="VALVULA DE RETENCAO VERTICAL,EM PVC,SOLDAVEL,COM DIAMETRO DE 60MM.FORNECIMENTO E COLOCACAO" xr:uid="{00000000-0004-0000-5E00-000003000000}"/>
    <hyperlink ref="E1" location="'13.2.45'!A1" display="VALVULA DE RETENCAO VERTICAL,EM PVC,SOLDAVEL,COM DIAMETRO DE 60MM.FORNECIMENTO E COLOCACAO" xr:uid="{00000000-0004-0000-5E00-000004000000}"/>
    <hyperlink ref="A2" location="'13.2.45'!A1" display="VALVULA DE RETENCAO VERTICAL,EM PVC,SOLDAVEL,COM DIAMETRO DE 60MM.FORNECIMENTO E COLOCACAO" xr:uid="{00000000-0004-0000-5E00-000005000000}"/>
    <hyperlink ref="B2" location="'13.2.45'!A1" display="VALVULA DE RETENCAO VERTICAL,EM PVC,SOLDAVEL,COM DIAMETRO DE 60MM.FORNECIMENTO E COLOCACAO" xr:uid="{00000000-0004-0000-5E00-000006000000}"/>
    <hyperlink ref="C2" location="'13.2.45'!A1" display="VALVULA DE RETENCAO VERTICAL,EM PVC,SOLDAVEL,COM DIAMETRO DE 60MM.FORNECIMENTO E COLOCACAO" xr:uid="{00000000-0004-0000-5E00-000007000000}"/>
    <hyperlink ref="D2" location="'13.2.45'!A1" display="VALVULA DE RETENCAO VERTICAL,EM PVC,SOLDAVEL,COM DIAMETRO DE 60MM.FORNECIMENTO E COLOCACAO" xr:uid="{00000000-0004-0000-5E00-000008000000}"/>
    <hyperlink ref="E2" location="'13.2.45'!A1" display="VALVULA DE RETENCAO VERTICAL,EM PVC,SOLDAVEL,COM DIAMETRO DE 60MM.FORNECIMENTO E COLOCACAO" xr:uid="{00000000-0004-0000-5E00-000009000000}"/>
    <hyperlink ref="A4" location="'13.2.45'!A1" display="Acessórios do tubo (A)" xr:uid="{00000000-0004-0000-5E00-00000A000000}"/>
    <hyperlink ref="B4" location="'13.2.45'!A1" display="Acessórios do tubo (A)" xr:uid="{00000000-0004-0000-5E00-00000B000000}"/>
    <hyperlink ref="C4" location="'13.2.45'!A1" display="Acessórios do tubo (A)" xr:uid="{00000000-0004-0000-5E00-00000C000000}"/>
    <hyperlink ref="D4" location="'13.2.45'!A1" display="Acessórios do tubo (A)" xr:uid="{00000000-0004-0000-5E00-00000D000000}"/>
    <hyperlink ref="E4" location="'13.2.45'!A1" display="Acessórios do tubo (A)" xr:uid="{00000000-0004-0000-5E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F00-000000000000}">
  <dimension ref="A1:E2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183</v>
      </c>
      <c r="B1" s="20" t="s">
        <v>183</v>
      </c>
      <c r="C1" s="20" t="s">
        <v>183</v>
      </c>
      <c r="D1" s="20" t="s">
        <v>183</v>
      </c>
      <c r="E1" s="20" t="s">
        <v>183</v>
      </c>
    </row>
    <row r="2" spans="1:5" x14ac:dyDescent="0.25">
      <c r="A2" s="20" t="s">
        <v>183</v>
      </c>
      <c r="B2" s="20" t="s">
        <v>183</v>
      </c>
      <c r="C2" s="20" t="s">
        <v>183</v>
      </c>
      <c r="D2" s="20" t="s">
        <v>183</v>
      </c>
      <c r="E2" s="20" t="s">
        <v>183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1998</v>
      </c>
      <c r="D7" s="8" t="s">
        <v>1999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1998</v>
      </c>
      <c r="D8" s="8" t="s">
        <v>2000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1998</v>
      </c>
      <c r="D9" s="8" t="s">
        <v>2001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1998</v>
      </c>
      <c r="D10" s="8" t="s">
        <v>2002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1998</v>
      </c>
      <c r="D11" s="8" t="s">
        <v>2003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1998</v>
      </c>
      <c r="D12" s="8" t="s">
        <v>2004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1998</v>
      </c>
      <c r="D13" s="8" t="s">
        <v>2005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1998</v>
      </c>
      <c r="D14" s="8" t="s">
        <v>2006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1998</v>
      </c>
      <c r="D15" s="8" t="s">
        <v>2007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1998</v>
      </c>
      <c r="D16" s="8" t="s">
        <v>2008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1998</v>
      </c>
      <c r="D17" s="8" t="s">
        <v>2009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1998</v>
      </c>
      <c r="D18" s="8" t="s">
        <v>2010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1998</v>
      </c>
      <c r="D19" s="8" t="s">
        <v>2011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1998</v>
      </c>
      <c r="D20" s="8" t="s">
        <v>2012</v>
      </c>
      <c r="E20" s="8">
        <v>1</v>
      </c>
    </row>
    <row r="21" spans="1:5" x14ac:dyDescent="0.25">
      <c r="A21" s="1" t="s">
        <v>198</v>
      </c>
      <c r="B21" s="1" t="s">
        <v>198</v>
      </c>
      <c r="C21" s="1">
        <f>SUBTOTAL(103,Elements13_2_461[Elemento])</f>
        <v>14</v>
      </c>
      <c r="D21" s="1" t="s">
        <v>198</v>
      </c>
      <c r="E21" s="1">
        <f>SUBTOTAL(109,Elements13_2_461[Totais:])</f>
        <v>14</v>
      </c>
    </row>
  </sheetData>
  <mergeCells count="3">
    <mergeCell ref="A1:E2"/>
    <mergeCell ref="A4:E4"/>
    <mergeCell ref="A5:E5"/>
  </mergeCells>
  <hyperlinks>
    <hyperlink ref="A1" location="'13.2.46'!A1" display="VÁLVULA DE ESFERA BRUTA, BRONZE, ROSCÁVEL, 1 1/2'' - FORNECIMENTO E INSTALAÇÃO. AF_08/2021" xr:uid="{00000000-0004-0000-5F00-000000000000}"/>
    <hyperlink ref="B1" location="'13.2.46'!A1" display="VÁLVULA DE ESFERA BRUTA, BRONZE, ROSCÁVEL, 1 1/2'' - FORNECIMENTO E INSTALAÇÃO. AF_08/2021" xr:uid="{00000000-0004-0000-5F00-000001000000}"/>
    <hyperlink ref="C1" location="'13.2.46'!A1" display="VÁLVULA DE ESFERA BRUTA, BRONZE, ROSCÁVEL, 1 1/2'' - FORNECIMENTO E INSTALAÇÃO. AF_08/2021" xr:uid="{00000000-0004-0000-5F00-000002000000}"/>
    <hyperlink ref="D1" location="'13.2.46'!A1" display="VÁLVULA DE ESFERA BRUTA, BRONZE, ROSCÁVEL, 1 1/2'' - FORNECIMENTO E INSTALAÇÃO. AF_08/2021" xr:uid="{00000000-0004-0000-5F00-000003000000}"/>
    <hyperlink ref="E1" location="'13.2.46'!A1" display="VÁLVULA DE ESFERA BRUTA, BRONZE, ROSCÁVEL, 1 1/2'' - FORNECIMENTO E INSTALAÇÃO. AF_08/2021" xr:uid="{00000000-0004-0000-5F00-000004000000}"/>
    <hyperlink ref="A2" location="'13.2.46'!A1" display="VÁLVULA DE ESFERA BRUTA, BRONZE, ROSCÁVEL, 1 1/2'' - FORNECIMENTO E INSTALAÇÃO. AF_08/2021" xr:uid="{00000000-0004-0000-5F00-000005000000}"/>
    <hyperlink ref="B2" location="'13.2.46'!A1" display="VÁLVULA DE ESFERA BRUTA, BRONZE, ROSCÁVEL, 1 1/2'' - FORNECIMENTO E INSTALAÇÃO. AF_08/2021" xr:uid="{00000000-0004-0000-5F00-000006000000}"/>
    <hyperlink ref="C2" location="'13.2.46'!A1" display="VÁLVULA DE ESFERA BRUTA, BRONZE, ROSCÁVEL, 1 1/2'' - FORNECIMENTO E INSTALAÇÃO. AF_08/2021" xr:uid="{00000000-0004-0000-5F00-000007000000}"/>
    <hyperlink ref="D2" location="'13.2.46'!A1" display="VÁLVULA DE ESFERA BRUTA, BRONZE, ROSCÁVEL, 1 1/2'' - FORNECIMENTO E INSTALAÇÃO. AF_08/2021" xr:uid="{00000000-0004-0000-5F00-000008000000}"/>
    <hyperlink ref="E2" location="'13.2.46'!A1" display="VÁLVULA DE ESFERA BRUTA, BRONZE, ROSCÁVEL, 1 1/2'' - FORNECIMENTO E INSTALAÇÃO. AF_08/2021" xr:uid="{00000000-0004-0000-5F00-000009000000}"/>
    <hyperlink ref="A4" location="'13.2.46'!A1" display="Acessórios do tubo (A)" xr:uid="{00000000-0004-0000-5F00-00000A000000}"/>
    <hyperlink ref="B4" location="'13.2.46'!A1" display="Acessórios do tubo (A)" xr:uid="{00000000-0004-0000-5F00-00000B000000}"/>
    <hyperlink ref="C4" location="'13.2.46'!A1" display="Acessórios do tubo (A)" xr:uid="{00000000-0004-0000-5F00-00000C000000}"/>
    <hyperlink ref="D4" location="'13.2.46'!A1" display="Acessórios do tubo (A)" xr:uid="{00000000-0004-0000-5F00-00000D000000}"/>
    <hyperlink ref="E4" location="'13.2.46'!A1" display="Acessórios do tubo (A)" xr:uid="{00000000-0004-0000-5F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000-000000000000}">
  <dimension ref="A1:E24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187</v>
      </c>
      <c r="B1" s="20" t="s">
        <v>187</v>
      </c>
      <c r="C1" s="20" t="s">
        <v>187</v>
      </c>
      <c r="D1" s="20" t="s">
        <v>187</v>
      </c>
      <c r="E1" s="20" t="s">
        <v>187</v>
      </c>
    </row>
    <row r="2" spans="1:5" x14ac:dyDescent="0.25">
      <c r="A2" s="20" t="s">
        <v>187</v>
      </c>
      <c r="B2" s="20" t="s">
        <v>187</v>
      </c>
      <c r="C2" s="20" t="s">
        <v>187</v>
      </c>
      <c r="D2" s="20" t="s">
        <v>187</v>
      </c>
      <c r="E2" s="20" t="s">
        <v>187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315</v>
      </c>
      <c r="D7" s="8" t="s">
        <v>1858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315</v>
      </c>
      <c r="D8" s="8" t="s">
        <v>1859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315</v>
      </c>
      <c r="D9" s="8" t="s">
        <v>1860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315</v>
      </c>
      <c r="D10" s="8" t="s">
        <v>1861</v>
      </c>
      <c r="E10" s="8">
        <v>1</v>
      </c>
    </row>
    <row r="11" spans="1:5" ht="24.75" x14ac:dyDescent="0.25">
      <c r="A11" s="8" t="s">
        <v>338</v>
      </c>
      <c r="B11" s="8" t="s">
        <v>224</v>
      </c>
      <c r="C11" s="8" t="s">
        <v>315</v>
      </c>
      <c r="D11" s="8" t="s">
        <v>1862</v>
      </c>
      <c r="E11" s="8">
        <v>1</v>
      </c>
    </row>
    <row r="12" spans="1:5" ht="24.75" x14ac:dyDescent="0.25">
      <c r="A12" s="8" t="s">
        <v>338</v>
      </c>
      <c r="B12" s="8" t="s">
        <v>224</v>
      </c>
      <c r="C12" s="8" t="s">
        <v>315</v>
      </c>
      <c r="D12" s="8" t="s">
        <v>1863</v>
      </c>
      <c r="E12" s="8">
        <v>1</v>
      </c>
    </row>
    <row r="13" spans="1:5" ht="24.75" x14ac:dyDescent="0.25">
      <c r="A13" s="8" t="s">
        <v>338</v>
      </c>
      <c r="B13" s="8" t="s">
        <v>224</v>
      </c>
      <c r="C13" s="8" t="s">
        <v>315</v>
      </c>
      <c r="D13" s="8" t="s">
        <v>1864</v>
      </c>
      <c r="E13" s="8">
        <v>1</v>
      </c>
    </row>
    <row r="14" spans="1:5" ht="24.75" x14ac:dyDescent="0.25">
      <c r="A14" s="8" t="s">
        <v>338</v>
      </c>
      <c r="B14" s="8" t="s">
        <v>224</v>
      </c>
      <c r="C14" s="8" t="s">
        <v>315</v>
      </c>
      <c r="D14" s="8" t="s">
        <v>1865</v>
      </c>
      <c r="E14" s="8">
        <v>1</v>
      </c>
    </row>
    <row r="15" spans="1:5" ht="24.75" x14ac:dyDescent="0.25">
      <c r="A15" s="8" t="s">
        <v>338</v>
      </c>
      <c r="B15" s="8" t="s">
        <v>224</v>
      </c>
      <c r="C15" s="8" t="s">
        <v>315</v>
      </c>
      <c r="D15" s="8" t="s">
        <v>1866</v>
      </c>
      <c r="E15" s="8">
        <v>1</v>
      </c>
    </row>
    <row r="16" spans="1:5" ht="24.75" x14ac:dyDescent="0.25">
      <c r="A16" s="8" t="s">
        <v>338</v>
      </c>
      <c r="B16" s="8" t="s">
        <v>224</v>
      </c>
      <c r="C16" s="8" t="s">
        <v>315</v>
      </c>
      <c r="D16" s="8" t="s">
        <v>1867</v>
      </c>
      <c r="E16" s="8">
        <v>1</v>
      </c>
    </row>
    <row r="17" spans="1:5" ht="24.75" x14ac:dyDescent="0.25">
      <c r="A17" s="8" t="s">
        <v>338</v>
      </c>
      <c r="B17" s="8" t="s">
        <v>224</v>
      </c>
      <c r="C17" s="8" t="s">
        <v>315</v>
      </c>
      <c r="D17" s="8" t="s">
        <v>1868</v>
      </c>
      <c r="E17" s="8">
        <v>1</v>
      </c>
    </row>
    <row r="18" spans="1:5" ht="24.75" x14ac:dyDescent="0.25">
      <c r="A18" s="8" t="s">
        <v>338</v>
      </c>
      <c r="B18" s="8" t="s">
        <v>224</v>
      </c>
      <c r="C18" s="8" t="s">
        <v>315</v>
      </c>
      <c r="D18" s="8" t="s">
        <v>1869</v>
      </c>
      <c r="E18" s="8">
        <v>1</v>
      </c>
    </row>
    <row r="19" spans="1:5" ht="24.75" x14ac:dyDescent="0.25">
      <c r="A19" s="8" t="s">
        <v>338</v>
      </c>
      <c r="B19" s="8" t="s">
        <v>224</v>
      </c>
      <c r="C19" s="8" t="s">
        <v>315</v>
      </c>
      <c r="D19" s="8" t="s">
        <v>1870</v>
      </c>
      <c r="E19" s="8">
        <v>1</v>
      </c>
    </row>
    <row r="20" spans="1:5" ht="24.75" x14ac:dyDescent="0.25">
      <c r="A20" s="8" t="s">
        <v>338</v>
      </c>
      <c r="B20" s="8" t="s">
        <v>224</v>
      </c>
      <c r="C20" s="8" t="s">
        <v>315</v>
      </c>
      <c r="D20" s="8" t="s">
        <v>1871</v>
      </c>
      <c r="E20" s="8">
        <v>1</v>
      </c>
    </row>
    <row r="21" spans="1:5" ht="24.75" x14ac:dyDescent="0.25">
      <c r="A21" s="8" t="s">
        <v>338</v>
      </c>
      <c r="B21" s="8" t="s">
        <v>224</v>
      </c>
      <c r="C21" s="8" t="s">
        <v>315</v>
      </c>
      <c r="D21" s="8" t="s">
        <v>1872</v>
      </c>
      <c r="E21" s="8">
        <v>1</v>
      </c>
    </row>
    <row r="22" spans="1:5" ht="24.75" x14ac:dyDescent="0.25">
      <c r="A22" s="8" t="s">
        <v>338</v>
      </c>
      <c r="B22" s="8" t="s">
        <v>224</v>
      </c>
      <c r="C22" s="8" t="s">
        <v>315</v>
      </c>
      <c r="D22" s="8" t="s">
        <v>1873</v>
      </c>
      <c r="E22" s="8">
        <v>1</v>
      </c>
    </row>
    <row r="23" spans="1:5" ht="24.75" x14ac:dyDescent="0.25">
      <c r="A23" s="8" t="s">
        <v>338</v>
      </c>
      <c r="B23" s="8" t="s">
        <v>224</v>
      </c>
      <c r="C23" s="8" t="s">
        <v>315</v>
      </c>
      <c r="D23" s="8" t="s">
        <v>1874</v>
      </c>
      <c r="E23" s="8">
        <v>1</v>
      </c>
    </row>
    <row r="24" spans="1:5" x14ac:dyDescent="0.25">
      <c r="A24" s="1" t="s">
        <v>198</v>
      </c>
      <c r="B24" s="1" t="s">
        <v>198</v>
      </c>
      <c r="C24" s="1">
        <f>SUBTOTAL(103,Elements13_2_471[Elemento])</f>
        <v>17</v>
      </c>
      <c r="D24" s="1" t="s">
        <v>198</v>
      </c>
      <c r="E24" s="1">
        <f>SUBTOTAL(109,Elements13_2_471[Totais:])</f>
        <v>17</v>
      </c>
    </row>
  </sheetData>
  <mergeCells count="3">
    <mergeCell ref="A1:E2"/>
    <mergeCell ref="A4:E4"/>
    <mergeCell ref="A5:E5"/>
  </mergeCells>
  <hyperlinks>
    <hyperlink ref="A1" location="'13.2.47'!A1" display="VÁLVULA DE ESFERA BRUTA, BRONZE, ROSCÁVEL, 3/4'' - FORNECIMENTO E INSTALAÇÃO. AF_08/2021" xr:uid="{00000000-0004-0000-6000-000000000000}"/>
    <hyperlink ref="B1" location="'13.2.47'!A1" display="VÁLVULA DE ESFERA BRUTA, BRONZE, ROSCÁVEL, 3/4'' - FORNECIMENTO E INSTALAÇÃO. AF_08/2021" xr:uid="{00000000-0004-0000-6000-000001000000}"/>
    <hyperlink ref="C1" location="'13.2.47'!A1" display="VÁLVULA DE ESFERA BRUTA, BRONZE, ROSCÁVEL, 3/4'' - FORNECIMENTO E INSTALAÇÃO. AF_08/2021" xr:uid="{00000000-0004-0000-6000-000002000000}"/>
    <hyperlink ref="D1" location="'13.2.47'!A1" display="VÁLVULA DE ESFERA BRUTA, BRONZE, ROSCÁVEL, 3/4'' - FORNECIMENTO E INSTALAÇÃO. AF_08/2021" xr:uid="{00000000-0004-0000-6000-000003000000}"/>
    <hyperlink ref="E1" location="'13.2.47'!A1" display="VÁLVULA DE ESFERA BRUTA, BRONZE, ROSCÁVEL, 3/4'' - FORNECIMENTO E INSTALAÇÃO. AF_08/2021" xr:uid="{00000000-0004-0000-6000-000004000000}"/>
    <hyperlink ref="A2" location="'13.2.47'!A1" display="VÁLVULA DE ESFERA BRUTA, BRONZE, ROSCÁVEL, 3/4'' - FORNECIMENTO E INSTALAÇÃO. AF_08/2021" xr:uid="{00000000-0004-0000-6000-000005000000}"/>
    <hyperlink ref="B2" location="'13.2.47'!A1" display="VÁLVULA DE ESFERA BRUTA, BRONZE, ROSCÁVEL, 3/4'' - FORNECIMENTO E INSTALAÇÃO. AF_08/2021" xr:uid="{00000000-0004-0000-6000-000006000000}"/>
    <hyperlink ref="C2" location="'13.2.47'!A1" display="VÁLVULA DE ESFERA BRUTA, BRONZE, ROSCÁVEL, 3/4'' - FORNECIMENTO E INSTALAÇÃO. AF_08/2021" xr:uid="{00000000-0004-0000-6000-000007000000}"/>
    <hyperlink ref="D2" location="'13.2.47'!A1" display="VÁLVULA DE ESFERA BRUTA, BRONZE, ROSCÁVEL, 3/4'' - FORNECIMENTO E INSTALAÇÃO. AF_08/2021" xr:uid="{00000000-0004-0000-6000-000008000000}"/>
    <hyperlink ref="E2" location="'13.2.47'!A1" display="VÁLVULA DE ESFERA BRUTA, BRONZE, ROSCÁVEL, 3/4'' - FORNECIMENTO E INSTALAÇÃO. AF_08/2021" xr:uid="{00000000-0004-0000-6000-000009000000}"/>
    <hyperlink ref="A4" location="'13.2.47'!A1" display="Acessórios do tubo (A)" xr:uid="{00000000-0004-0000-6000-00000A000000}"/>
    <hyperlink ref="B4" location="'13.2.47'!A1" display="Acessórios do tubo (A)" xr:uid="{00000000-0004-0000-6000-00000B000000}"/>
    <hyperlink ref="C4" location="'13.2.47'!A1" display="Acessórios do tubo (A)" xr:uid="{00000000-0004-0000-6000-00000C000000}"/>
    <hyperlink ref="D4" location="'13.2.47'!A1" display="Acessórios do tubo (A)" xr:uid="{00000000-0004-0000-6000-00000D000000}"/>
    <hyperlink ref="E4" location="'13.2.47'!A1" display="Acessórios do tubo (A)" xr:uid="{00000000-0004-0000-60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dimension ref="A1:E11"/>
  <sheetViews>
    <sheetView showGridLines="0" workbookViewId="0"/>
  </sheetViews>
  <sheetFormatPr defaultRowHeight="15" x14ac:dyDescent="0.25"/>
  <cols>
    <col min="1" max="1" width="26" customWidth="1"/>
    <col min="2" max="2" width="55" customWidth="1"/>
    <col min="3" max="3" width="34" customWidth="1"/>
    <col min="4" max="4" width="12" customWidth="1"/>
    <col min="5" max="5" width="14" customWidth="1"/>
  </cols>
  <sheetData>
    <row r="1" spans="1:5" x14ac:dyDescent="0.25">
      <c r="A1" s="20" t="s">
        <v>190</v>
      </c>
      <c r="B1" s="20" t="s">
        <v>190</v>
      </c>
      <c r="C1" s="20" t="s">
        <v>190</v>
      </c>
      <c r="D1" s="20" t="s">
        <v>190</v>
      </c>
      <c r="E1" s="20" t="s">
        <v>190</v>
      </c>
    </row>
    <row r="2" spans="1:5" x14ac:dyDescent="0.25">
      <c r="A2" s="20" t="s">
        <v>190</v>
      </c>
      <c r="B2" s="20" t="s">
        <v>190</v>
      </c>
      <c r="C2" s="20" t="s">
        <v>190</v>
      </c>
      <c r="D2" s="20" t="s">
        <v>190</v>
      </c>
      <c r="E2" s="20" t="s">
        <v>190</v>
      </c>
    </row>
    <row r="4" spans="1:5" x14ac:dyDescent="0.25">
      <c r="A4" s="15" t="s">
        <v>231</v>
      </c>
      <c r="B4" s="15" t="s">
        <v>231</v>
      </c>
      <c r="C4" s="15" t="s">
        <v>231</v>
      </c>
      <c r="D4" s="15" t="s">
        <v>231</v>
      </c>
      <c r="E4" s="15" t="s">
        <v>231</v>
      </c>
    </row>
    <row r="5" spans="1:5" x14ac:dyDescent="0.25">
      <c r="A5" s="21" t="s">
        <v>198</v>
      </c>
      <c r="B5" s="21" t="s">
        <v>198</v>
      </c>
      <c r="C5" s="21" t="s">
        <v>198</v>
      </c>
      <c r="D5" s="21" t="s">
        <v>198</v>
      </c>
      <c r="E5" s="21" t="s">
        <v>198</v>
      </c>
    </row>
    <row r="6" spans="1:5" x14ac:dyDescent="0.25">
      <c r="A6" s="7" t="s">
        <v>333</v>
      </c>
      <c r="B6" s="7" t="s">
        <v>334</v>
      </c>
      <c r="C6" s="7" t="s">
        <v>335</v>
      </c>
      <c r="D6" s="7" t="s">
        <v>336</v>
      </c>
      <c r="E6" s="7" t="s">
        <v>337</v>
      </c>
    </row>
    <row r="7" spans="1:5" ht="24.75" x14ac:dyDescent="0.25">
      <c r="A7" s="8" t="s">
        <v>338</v>
      </c>
      <c r="B7" s="8" t="s">
        <v>224</v>
      </c>
      <c r="C7" s="8" t="s">
        <v>332</v>
      </c>
      <c r="D7" s="8" t="s">
        <v>2013</v>
      </c>
      <c r="E7" s="8">
        <v>1</v>
      </c>
    </row>
    <row r="8" spans="1:5" ht="24.75" x14ac:dyDescent="0.25">
      <c r="A8" s="8" t="s">
        <v>338</v>
      </c>
      <c r="B8" s="8" t="s">
        <v>224</v>
      </c>
      <c r="C8" s="8" t="s">
        <v>332</v>
      </c>
      <c r="D8" s="8" t="s">
        <v>2014</v>
      </c>
      <c r="E8" s="8">
        <v>1</v>
      </c>
    </row>
    <row r="9" spans="1:5" ht="24.75" x14ac:dyDescent="0.25">
      <c r="A9" s="8" t="s">
        <v>338</v>
      </c>
      <c r="B9" s="8" t="s">
        <v>224</v>
      </c>
      <c r="C9" s="8" t="s">
        <v>332</v>
      </c>
      <c r="D9" s="8" t="s">
        <v>2015</v>
      </c>
      <c r="E9" s="8">
        <v>1</v>
      </c>
    </row>
    <row r="10" spans="1:5" ht="24.75" x14ac:dyDescent="0.25">
      <c r="A10" s="8" t="s">
        <v>338</v>
      </c>
      <c r="B10" s="8" t="s">
        <v>224</v>
      </c>
      <c r="C10" s="8" t="s">
        <v>332</v>
      </c>
      <c r="D10" s="8" t="s">
        <v>2016</v>
      </c>
      <c r="E10" s="8">
        <v>1</v>
      </c>
    </row>
    <row r="11" spans="1:5" x14ac:dyDescent="0.25">
      <c r="A11" s="1" t="s">
        <v>198</v>
      </c>
      <c r="B11" s="1" t="s">
        <v>198</v>
      </c>
      <c r="C11" s="1">
        <f>SUBTOTAL(103,Elements13_2_481[Elemento])</f>
        <v>4</v>
      </c>
      <c r="D11" s="1" t="s">
        <v>198</v>
      </c>
      <c r="E11" s="1">
        <f>SUBTOTAL(109,Elements13_2_481[Totais:])</f>
        <v>4</v>
      </c>
    </row>
  </sheetData>
  <mergeCells count="3">
    <mergeCell ref="A1:E2"/>
    <mergeCell ref="A4:E4"/>
    <mergeCell ref="A5:E5"/>
  </mergeCells>
  <hyperlinks>
    <hyperlink ref="A1" location="'13.2.48'!A1" display="MOTO BOMBA MEGABLOC METB040-025-160GG 4CVTRIF.220/380/440KSB" xr:uid="{00000000-0004-0000-6100-000000000000}"/>
    <hyperlink ref="B1" location="'13.2.48'!A1" display="MOTO BOMBA MEGABLOC METB040-025-160GG 4CVTRIF.220/380/440KSB" xr:uid="{00000000-0004-0000-6100-000001000000}"/>
    <hyperlink ref="C1" location="'13.2.48'!A1" display="MOTO BOMBA MEGABLOC METB040-025-160GG 4CVTRIF.220/380/440KSB" xr:uid="{00000000-0004-0000-6100-000002000000}"/>
    <hyperlink ref="D1" location="'13.2.48'!A1" display="MOTO BOMBA MEGABLOC METB040-025-160GG 4CVTRIF.220/380/440KSB" xr:uid="{00000000-0004-0000-6100-000003000000}"/>
    <hyperlink ref="E1" location="'13.2.48'!A1" display="MOTO BOMBA MEGABLOC METB040-025-160GG 4CVTRIF.220/380/440KSB" xr:uid="{00000000-0004-0000-6100-000004000000}"/>
    <hyperlink ref="A2" location="'13.2.48'!A1" display="MOTO BOMBA MEGABLOC METB040-025-160GG 4CVTRIF.220/380/440KSB" xr:uid="{00000000-0004-0000-6100-000005000000}"/>
    <hyperlink ref="B2" location="'13.2.48'!A1" display="MOTO BOMBA MEGABLOC METB040-025-160GG 4CVTRIF.220/380/440KSB" xr:uid="{00000000-0004-0000-6100-000006000000}"/>
    <hyperlink ref="C2" location="'13.2.48'!A1" display="MOTO BOMBA MEGABLOC METB040-025-160GG 4CVTRIF.220/380/440KSB" xr:uid="{00000000-0004-0000-6100-000007000000}"/>
    <hyperlink ref="D2" location="'13.2.48'!A1" display="MOTO BOMBA MEGABLOC METB040-025-160GG 4CVTRIF.220/380/440KSB" xr:uid="{00000000-0004-0000-6100-000008000000}"/>
    <hyperlink ref="E2" location="'13.2.48'!A1" display="MOTO BOMBA MEGABLOC METB040-025-160GG 4CVTRIF.220/380/440KSB" xr:uid="{00000000-0004-0000-6100-000009000000}"/>
    <hyperlink ref="A4" location="'13.2.48'!A1" display="Acessórios do tubo (A)" xr:uid="{00000000-0004-0000-6100-00000A000000}"/>
    <hyperlink ref="B4" location="'13.2.48'!A1" display="Acessórios do tubo (A)" xr:uid="{00000000-0004-0000-6100-00000B000000}"/>
    <hyperlink ref="C4" location="'13.2.48'!A1" display="Acessórios do tubo (A)" xr:uid="{00000000-0004-0000-6100-00000C000000}"/>
    <hyperlink ref="D4" location="'13.2.48'!A1" display="Acessórios do tubo (A)" xr:uid="{00000000-0004-0000-6100-00000D000000}"/>
    <hyperlink ref="E4" location="'13.2.48'!A1" display="Acessórios do tubo (A)" xr:uid="{00000000-0004-0000-6100-00000E0000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98</vt:i4>
      </vt:variant>
    </vt:vector>
  </HeadingPairs>
  <TitlesOfParts>
    <vt:vector size="98" baseType="lpstr">
      <vt:lpstr>Orçamento</vt:lpstr>
      <vt:lpstr>13.2</vt:lpstr>
      <vt:lpstr>13.2.1</vt:lpstr>
      <vt:lpstr>13.2.2</vt:lpstr>
      <vt:lpstr>13.2.3</vt:lpstr>
      <vt:lpstr>13.2.4</vt:lpstr>
      <vt:lpstr>13.2.5</vt:lpstr>
      <vt:lpstr>13.2.6</vt:lpstr>
      <vt:lpstr>13.2.7</vt:lpstr>
      <vt:lpstr>13.2.8</vt:lpstr>
      <vt:lpstr>13.2.9</vt:lpstr>
      <vt:lpstr>13.2.10</vt:lpstr>
      <vt:lpstr>13.2.11</vt:lpstr>
      <vt:lpstr>13.2.12</vt:lpstr>
      <vt:lpstr>13.2.13</vt:lpstr>
      <vt:lpstr>13.2.14</vt:lpstr>
      <vt:lpstr>13.2.15</vt:lpstr>
      <vt:lpstr>13.2.16</vt:lpstr>
      <vt:lpstr>13.2.17</vt:lpstr>
      <vt:lpstr>13.2.18</vt:lpstr>
      <vt:lpstr>13.2.19</vt:lpstr>
      <vt:lpstr>13.2.20</vt:lpstr>
      <vt:lpstr>13.2.21</vt:lpstr>
      <vt:lpstr>13.2.22</vt:lpstr>
      <vt:lpstr>13.2.23</vt:lpstr>
      <vt:lpstr>13.2.24</vt:lpstr>
      <vt:lpstr>13.2.25</vt:lpstr>
      <vt:lpstr>13.2.26</vt:lpstr>
      <vt:lpstr>13.2.27</vt:lpstr>
      <vt:lpstr>13.2.28</vt:lpstr>
      <vt:lpstr>13.2.29</vt:lpstr>
      <vt:lpstr>13.2.30</vt:lpstr>
      <vt:lpstr>13.2.31</vt:lpstr>
      <vt:lpstr>13.2.32</vt:lpstr>
      <vt:lpstr>13.2.33</vt:lpstr>
      <vt:lpstr>13.2.34</vt:lpstr>
      <vt:lpstr>13.2.35</vt:lpstr>
      <vt:lpstr>13.2.36</vt:lpstr>
      <vt:lpstr>13.2.37</vt:lpstr>
      <vt:lpstr>13.2.38</vt:lpstr>
      <vt:lpstr>13.2.39</vt:lpstr>
      <vt:lpstr>13.2.40</vt:lpstr>
      <vt:lpstr>13.2.41</vt:lpstr>
      <vt:lpstr>13.2.42</vt:lpstr>
      <vt:lpstr>13.2.43</vt:lpstr>
      <vt:lpstr>13.2.44</vt:lpstr>
      <vt:lpstr>13.2.45</vt:lpstr>
      <vt:lpstr>13.2.46</vt:lpstr>
      <vt:lpstr>13.2.47</vt:lpstr>
      <vt:lpstr>13.2.48</vt:lpstr>
      <vt:lpstr>13.2.1E</vt:lpstr>
      <vt:lpstr>13.2.2E</vt:lpstr>
      <vt:lpstr>13.2.3E</vt:lpstr>
      <vt:lpstr>13.2.4E</vt:lpstr>
      <vt:lpstr>13.2.5E</vt:lpstr>
      <vt:lpstr>13.2.6E</vt:lpstr>
      <vt:lpstr>13.2.7E</vt:lpstr>
      <vt:lpstr>13.2.8E</vt:lpstr>
      <vt:lpstr>13.2.9E</vt:lpstr>
      <vt:lpstr>13.2.10E</vt:lpstr>
      <vt:lpstr>13.2.11E</vt:lpstr>
      <vt:lpstr>13.2.12E</vt:lpstr>
      <vt:lpstr>13.2.13E</vt:lpstr>
      <vt:lpstr>13.2.14E</vt:lpstr>
      <vt:lpstr>13.2.15E</vt:lpstr>
      <vt:lpstr>13.2.16E</vt:lpstr>
      <vt:lpstr>13.2.17E</vt:lpstr>
      <vt:lpstr>13.2.18E</vt:lpstr>
      <vt:lpstr>13.2.19E</vt:lpstr>
      <vt:lpstr>13.2.20E</vt:lpstr>
      <vt:lpstr>13.2.21E</vt:lpstr>
      <vt:lpstr>13.2.22E</vt:lpstr>
      <vt:lpstr>13.2.23E</vt:lpstr>
      <vt:lpstr>13.2.24E</vt:lpstr>
      <vt:lpstr>13.2.25E</vt:lpstr>
      <vt:lpstr>13.2.26E</vt:lpstr>
      <vt:lpstr>13.2.27E</vt:lpstr>
      <vt:lpstr>13.2.28E</vt:lpstr>
      <vt:lpstr>13.2.29E</vt:lpstr>
      <vt:lpstr>13.2.30E</vt:lpstr>
      <vt:lpstr>13.2.31E</vt:lpstr>
      <vt:lpstr>13.2.32E</vt:lpstr>
      <vt:lpstr>13.2.33E</vt:lpstr>
      <vt:lpstr>13.2.34E</vt:lpstr>
      <vt:lpstr>13.2.35E</vt:lpstr>
      <vt:lpstr>13.2.36E</vt:lpstr>
      <vt:lpstr>13.2.37E</vt:lpstr>
      <vt:lpstr>13.2.38E</vt:lpstr>
      <vt:lpstr>13.2.39E</vt:lpstr>
      <vt:lpstr>13.2.40E</vt:lpstr>
      <vt:lpstr>13.2.41E</vt:lpstr>
      <vt:lpstr>13.2.42E</vt:lpstr>
      <vt:lpstr>13.2.43E</vt:lpstr>
      <vt:lpstr>13.2.44E</vt:lpstr>
      <vt:lpstr>13.2.45E</vt:lpstr>
      <vt:lpstr>13.2.46E</vt:lpstr>
      <vt:lpstr>13.2.47E</vt:lpstr>
      <vt:lpstr>13.2.48E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orcamento 01</cp:lastModifiedBy>
  <dcterms:modified xsi:type="dcterms:W3CDTF">2025-07-21T12:35:56Z</dcterms:modified>
</cp:coreProperties>
</file>